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9765"/>
  </bookViews>
  <sheets>
    <sheet name="F1" sheetId="2" r:id="rId1"/>
    <sheet name="F2" sheetId="1" r:id="rId2"/>
    <sheet name="F3" sheetId="3" r:id="rId3"/>
  </sheets>
  <definedNames>
    <definedName name="_xlnm.Print_Area" localSheetId="0">'F1'!$C$9:$S$45</definedName>
  </definedNames>
  <calcPr calcId="145621" concurrentCalc="0"/>
</workbook>
</file>

<file path=xl/calcChain.xml><?xml version="1.0" encoding="utf-8"?>
<calcChain xmlns="http://schemas.openxmlformats.org/spreadsheetml/2006/main">
  <c r="E61" i="2" l="1"/>
  <c r="F14" i="2"/>
  <c r="E64" i="2"/>
  <c r="D65" i="2"/>
  <c r="E62" i="2"/>
  <c r="O66" i="2"/>
  <c r="P66" i="2"/>
  <c r="Q66" i="2"/>
  <c r="E60" i="2"/>
  <c r="N66" i="2"/>
  <c r="T70" i="2"/>
  <c r="R70" i="2"/>
  <c r="E13" i="2"/>
  <c r="D16" i="2"/>
  <c r="G62" i="2"/>
  <c r="G12" i="2"/>
  <c r="G61" i="2"/>
  <c r="G11" i="2"/>
  <c r="F62" i="2"/>
  <c r="F12" i="2"/>
  <c r="F61" i="2"/>
  <c r="F11" i="2"/>
  <c r="F60" i="2"/>
  <c r="F10" i="2"/>
  <c r="C4" i="1"/>
  <c r="G60" i="2"/>
  <c r="N64" i="2"/>
  <c r="O62" i="2"/>
  <c r="T66" i="2"/>
  <c r="D8" i="1"/>
  <c r="D9" i="1"/>
  <c r="N62" i="2"/>
  <c r="P62" i="2"/>
  <c r="D17" i="1"/>
  <c r="D18" i="1"/>
  <c r="D19" i="1"/>
  <c r="D20" i="1"/>
  <c r="D22" i="1"/>
  <c r="D7" i="1"/>
  <c r="D48" i="1"/>
  <c r="W66" i="2"/>
  <c r="D11" i="1"/>
  <c r="D12" i="1"/>
  <c r="D13" i="1"/>
  <c r="D51" i="1"/>
  <c r="E51" i="1"/>
  <c r="D52" i="1"/>
  <c r="E52" i="1"/>
  <c r="D49" i="1"/>
  <c r="D53" i="1"/>
  <c r="E49" i="1"/>
  <c r="E53" i="1"/>
  <c r="D54" i="1"/>
  <c r="E54" i="1"/>
  <c r="D55" i="1"/>
  <c r="E55" i="1"/>
  <c r="D39" i="1"/>
  <c r="K19" i="1"/>
  <c r="L19" i="1"/>
  <c r="M19" i="1"/>
  <c r="N19" i="1"/>
  <c r="O19" i="1"/>
  <c r="P19" i="1"/>
  <c r="Q19" i="1"/>
  <c r="R19" i="1"/>
  <c r="S19" i="1"/>
  <c r="T19" i="1"/>
  <c r="X19" i="1"/>
  <c r="K22" i="1"/>
  <c r="L22" i="1"/>
  <c r="M22" i="1"/>
  <c r="N22" i="1"/>
  <c r="O22" i="1"/>
  <c r="P22" i="1"/>
  <c r="Q22" i="1"/>
  <c r="R22" i="1"/>
  <c r="S22" i="1"/>
  <c r="T22" i="1"/>
  <c r="X22" i="1"/>
  <c r="K25" i="1"/>
  <c r="L25" i="1"/>
  <c r="M25" i="1"/>
  <c r="N25" i="1"/>
  <c r="O25" i="1"/>
  <c r="P25" i="1"/>
  <c r="Q25" i="1"/>
  <c r="R25" i="1"/>
  <c r="S25" i="1"/>
  <c r="T25" i="1"/>
  <c r="X25" i="1"/>
  <c r="K28" i="1"/>
  <c r="L28" i="1"/>
  <c r="M28" i="1"/>
  <c r="N28" i="1"/>
  <c r="O28" i="1"/>
  <c r="P28" i="1"/>
  <c r="Q28" i="1"/>
  <c r="R28" i="1"/>
  <c r="S28" i="1"/>
  <c r="T28" i="1"/>
  <c r="X28" i="1"/>
  <c r="K31" i="1"/>
  <c r="L31" i="1"/>
  <c r="M31" i="1"/>
  <c r="N31" i="1"/>
  <c r="O31" i="1"/>
  <c r="P31" i="1"/>
  <c r="Q31" i="1"/>
  <c r="R31" i="1"/>
  <c r="S31" i="1"/>
  <c r="T31" i="1"/>
  <c r="X31" i="1"/>
  <c r="K34" i="1"/>
  <c r="L34" i="1"/>
  <c r="M34" i="1"/>
  <c r="N34" i="1"/>
  <c r="O34" i="1"/>
  <c r="P34" i="1"/>
  <c r="Q34" i="1"/>
  <c r="R34" i="1"/>
  <c r="S34" i="1"/>
  <c r="T34" i="1"/>
  <c r="X34" i="1"/>
  <c r="K37" i="1"/>
  <c r="L37" i="1"/>
  <c r="M37" i="1"/>
  <c r="N37" i="1"/>
  <c r="O37" i="1"/>
  <c r="P37" i="1"/>
  <c r="Q37" i="1"/>
  <c r="R37" i="1"/>
  <c r="S37" i="1"/>
  <c r="T37" i="1"/>
  <c r="X37" i="1"/>
  <c r="K40" i="1"/>
  <c r="L40" i="1"/>
  <c r="M40" i="1"/>
  <c r="N40" i="1"/>
  <c r="O40" i="1"/>
  <c r="P40" i="1"/>
  <c r="Q40" i="1"/>
  <c r="R40" i="1"/>
  <c r="S40" i="1"/>
  <c r="T40" i="1"/>
  <c r="X40" i="1"/>
  <c r="K43" i="1"/>
  <c r="L43" i="1"/>
  <c r="M43" i="1"/>
  <c r="N43" i="1"/>
  <c r="O43" i="1"/>
  <c r="R43" i="1"/>
  <c r="P43" i="1"/>
  <c r="Q43" i="1"/>
  <c r="S43" i="1"/>
  <c r="T43" i="1"/>
  <c r="X43" i="1"/>
  <c r="K46" i="1"/>
  <c r="L46" i="1"/>
  <c r="M46" i="1"/>
  <c r="N46" i="1"/>
  <c r="O46" i="1"/>
  <c r="R46" i="1"/>
  <c r="P46" i="1"/>
  <c r="Q46" i="1"/>
  <c r="S46" i="1"/>
  <c r="T46" i="1"/>
  <c r="X46" i="1"/>
  <c r="K49" i="1"/>
  <c r="L49" i="1"/>
  <c r="M49" i="1"/>
  <c r="N49" i="1"/>
  <c r="O49" i="1"/>
  <c r="T49" i="1"/>
  <c r="P49" i="1"/>
  <c r="Q49" i="1"/>
  <c r="R49" i="1"/>
  <c r="S49" i="1"/>
  <c r="X49" i="1"/>
  <c r="K52" i="1"/>
  <c r="L52" i="1"/>
  <c r="M52" i="1"/>
  <c r="N52" i="1"/>
  <c r="P52" i="1"/>
  <c r="Q52" i="1"/>
  <c r="S52" i="1"/>
  <c r="T52" i="1"/>
  <c r="X52" i="1"/>
  <c r="K55" i="1"/>
  <c r="L55" i="1"/>
  <c r="M55" i="1"/>
  <c r="N55" i="1"/>
  <c r="O55" i="1"/>
  <c r="T55" i="1"/>
  <c r="P55" i="1"/>
  <c r="Q55" i="1"/>
  <c r="Y55" i="1"/>
  <c r="S55" i="1"/>
  <c r="X55" i="1"/>
  <c r="K58" i="1"/>
  <c r="L58" i="1"/>
  <c r="M58" i="1"/>
  <c r="N58" i="1"/>
  <c r="O58" i="1"/>
  <c r="P58" i="1"/>
  <c r="Q58" i="1"/>
  <c r="Y58" i="1"/>
  <c r="S58" i="1"/>
  <c r="T58" i="1"/>
  <c r="X58" i="1"/>
  <c r="K61" i="1"/>
  <c r="L61" i="1"/>
  <c r="M61" i="1"/>
  <c r="N61" i="1"/>
  <c r="O61" i="1"/>
  <c r="T61" i="1"/>
  <c r="P61" i="1"/>
  <c r="Q61" i="1"/>
  <c r="Y61" i="1"/>
  <c r="S61" i="1"/>
  <c r="X61" i="1"/>
  <c r="K64" i="1"/>
  <c r="L64" i="1"/>
  <c r="M64" i="1"/>
  <c r="N64" i="1"/>
  <c r="O64" i="1"/>
  <c r="T64" i="1"/>
  <c r="P64" i="1"/>
  <c r="Q64" i="1"/>
  <c r="Y64" i="1"/>
  <c r="S64" i="1"/>
  <c r="X64" i="1"/>
  <c r="K67" i="1"/>
  <c r="L67" i="1"/>
  <c r="M67" i="1"/>
  <c r="N67" i="1"/>
  <c r="O67" i="1"/>
  <c r="T67" i="1"/>
  <c r="P67" i="1"/>
  <c r="Q67" i="1"/>
  <c r="Y67" i="1"/>
  <c r="S67" i="1"/>
  <c r="X67" i="1"/>
  <c r="K70" i="1"/>
  <c r="Z70" i="1"/>
  <c r="M70" i="1"/>
  <c r="N70" i="1"/>
  <c r="O70" i="1"/>
  <c r="T70" i="1"/>
  <c r="P70" i="1"/>
  <c r="Q70" i="1"/>
  <c r="Y70" i="1"/>
  <c r="S70" i="1"/>
  <c r="X70" i="1"/>
  <c r="K73" i="1"/>
  <c r="Z73" i="1"/>
  <c r="M73" i="1"/>
  <c r="N73" i="1"/>
  <c r="O73" i="1"/>
  <c r="T73" i="1"/>
  <c r="P73" i="1"/>
  <c r="Q73" i="1"/>
  <c r="Y73" i="1"/>
  <c r="S73" i="1"/>
  <c r="X73" i="1"/>
  <c r="K76" i="1"/>
  <c r="Z76" i="1"/>
  <c r="M76" i="1"/>
  <c r="N76" i="1"/>
  <c r="O76" i="1"/>
  <c r="T76" i="1"/>
  <c r="P76" i="1"/>
  <c r="Q76" i="1"/>
  <c r="S76" i="1"/>
  <c r="X76" i="1"/>
  <c r="K79" i="1"/>
  <c r="Z79" i="1"/>
  <c r="M79" i="1"/>
  <c r="N79" i="1"/>
  <c r="O79" i="1"/>
  <c r="T79" i="1"/>
  <c r="P79" i="1"/>
  <c r="Q79" i="1"/>
  <c r="S79" i="1"/>
  <c r="X79" i="1"/>
  <c r="K82" i="1"/>
  <c r="Z82" i="1"/>
  <c r="M82" i="1"/>
  <c r="N82" i="1"/>
  <c r="O82" i="1"/>
  <c r="P82" i="1"/>
  <c r="Q82" i="1"/>
  <c r="Y82" i="1"/>
  <c r="S82" i="1"/>
  <c r="T82" i="1"/>
  <c r="X82" i="1"/>
  <c r="K85" i="1"/>
  <c r="M85" i="1"/>
  <c r="N85" i="1"/>
  <c r="P85" i="1"/>
  <c r="Q85" i="1"/>
  <c r="S85" i="1"/>
  <c r="T85" i="1"/>
  <c r="X85" i="1"/>
  <c r="K88" i="1"/>
  <c r="M88" i="1"/>
  <c r="N88" i="1"/>
  <c r="P88" i="1"/>
  <c r="Q88" i="1"/>
  <c r="S88" i="1"/>
  <c r="T88" i="1"/>
  <c r="X88" i="1"/>
  <c r="K91" i="1"/>
  <c r="M91" i="1"/>
  <c r="N91" i="1"/>
  <c r="Y91" i="1"/>
  <c r="Z91" i="1"/>
  <c r="O91" i="1"/>
  <c r="P91" i="1"/>
  <c r="Q91" i="1"/>
  <c r="S91" i="1"/>
  <c r="X91" i="1"/>
  <c r="K94" i="1"/>
  <c r="M94" i="1"/>
  <c r="N94" i="1"/>
  <c r="Y94" i="1"/>
  <c r="Z94" i="1"/>
  <c r="O94" i="1"/>
  <c r="P94" i="1"/>
  <c r="Q94" i="1"/>
  <c r="X94" i="1"/>
  <c r="K97" i="1"/>
  <c r="M97" i="1"/>
  <c r="N97" i="1"/>
  <c r="O97" i="1"/>
  <c r="P97" i="1"/>
  <c r="Q97" i="1"/>
  <c r="X97" i="1"/>
  <c r="K100" i="1"/>
  <c r="M100" i="1"/>
  <c r="N100" i="1"/>
  <c r="P100" i="1"/>
  <c r="Q100" i="1"/>
  <c r="S100" i="1"/>
  <c r="T100" i="1"/>
  <c r="X100" i="1"/>
  <c r="K103" i="1"/>
  <c r="M103" i="1"/>
  <c r="N103" i="1"/>
  <c r="O103" i="1"/>
  <c r="Y103" i="1"/>
  <c r="P103" i="1"/>
  <c r="Q103" i="1"/>
  <c r="R103" i="1"/>
  <c r="S103" i="1"/>
  <c r="T103" i="1"/>
  <c r="X103" i="1"/>
  <c r="K106" i="1"/>
  <c r="N106" i="1"/>
  <c r="O106" i="1"/>
  <c r="Y106" i="1"/>
  <c r="P106" i="1"/>
  <c r="Q106" i="1"/>
  <c r="R106" i="1"/>
  <c r="S106" i="1"/>
  <c r="T106" i="1"/>
  <c r="X106" i="1"/>
  <c r="X16" i="1"/>
  <c r="D40" i="1"/>
  <c r="K151" i="1"/>
  <c r="P151" i="1"/>
  <c r="L151" i="1"/>
  <c r="N151" i="1"/>
  <c r="R151" i="1"/>
  <c r="T151" i="1"/>
  <c r="V151" i="1"/>
  <c r="X151" i="1"/>
  <c r="Z151" i="1"/>
  <c r="AB151" i="1"/>
  <c r="AH151" i="1"/>
  <c r="K112" i="1"/>
  <c r="L112" i="1"/>
  <c r="N112" i="1"/>
  <c r="P112" i="1"/>
  <c r="R112" i="1"/>
  <c r="T112" i="1"/>
  <c r="Z112" i="1"/>
  <c r="V112" i="1"/>
  <c r="AH112" i="1"/>
  <c r="K115" i="1"/>
  <c r="L115" i="1"/>
  <c r="N115" i="1"/>
  <c r="P115" i="1"/>
  <c r="R115" i="1"/>
  <c r="T115" i="1"/>
  <c r="Z115" i="1"/>
  <c r="V115" i="1"/>
  <c r="AH115" i="1"/>
  <c r="K118" i="1"/>
  <c r="L118" i="1"/>
  <c r="N118" i="1"/>
  <c r="P118" i="1"/>
  <c r="R118" i="1"/>
  <c r="T118" i="1"/>
  <c r="Z118" i="1"/>
  <c r="V118" i="1"/>
  <c r="AH118" i="1"/>
  <c r="K121" i="1"/>
  <c r="L121" i="1"/>
  <c r="N121" i="1"/>
  <c r="P121" i="1"/>
  <c r="R121" i="1"/>
  <c r="T121" i="1"/>
  <c r="X121" i="1"/>
  <c r="V121" i="1"/>
  <c r="AH121" i="1"/>
  <c r="K124" i="1"/>
  <c r="L124" i="1"/>
  <c r="N124" i="1"/>
  <c r="P124" i="1"/>
  <c r="R124" i="1"/>
  <c r="T124" i="1"/>
  <c r="X124" i="1"/>
  <c r="V124" i="1"/>
  <c r="AH124" i="1"/>
  <c r="K127" i="1"/>
  <c r="L127" i="1"/>
  <c r="N127" i="1"/>
  <c r="P127" i="1"/>
  <c r="R127" i="1"/>
  <c r="T127" i="1"/>
  <c r="Z127" i="1"/>
  <c r="V127" i="1"/>
  <c r="AH127" i="1"/>
  <c r="K130" i="1"/>
  <c r="L130" i="1"/>
  <c r="N130" i="1"/>
  <c r="P130" i="1"/>
  <c r="R130" i="1"/>
  <c r="T130" i="1"/>
  <c r="Z130" i="1"/>
  <c r="V130" i="1"/>
  <c r="AH130" i="1"/>
  <c r="K133" i="1"/>
  <c r="L133" i="1"/>
  <c r="N133" i="1"/>
  <c r="P133" i="1"/>
  <c r="R133" i="1"/>
  <c r="T133" i="1"/>
  <c r="Z133" i="1"/>
  <c r="V133" i="1"/>
  <c r="AH133" i="1"/>
  <c r="K136" i="1"/>
  <c r="L136" i="1"/>
  <c r="N136" i="1"/>
  <c r="P136" i="1"/>
  <c r="R136" i="1"/>
  <c r="T136" i="1"/>
  <c r="V136" i="1"/>
  <c r="AH136" i="1"/>
  <c r="K139" i="1"/>
  <c r="L139" i="1"/>
  <c r="N139" i="1"/>
  <c r="P139" i="1"/>
  <c r="R139" i="1"/>
  <c r="T139" i="1"/>
  <c r="V139" i="1"/>
  <c r="AH139" i="1"/>
  <c r="K142" i="1"/>
  <c r="L142" i="1"/>
  <c r="N142" i="1"/>
  <c r="P142" i="1"/>
  <c r="R142" i="1"/>
  <c r="T142" i="1"/>
  <c r="V142" i="1"/>
  <c r="X142" i="1"/>
  <c r="Z142" i="1"/>
  <c r="AB142" i="1"/>
  <c r="AH142" i="1"/>
  <c r="K145" i="1"/>
  <c r="L145" i="1"/>
  <c r="N145" i="1"/>
  <c r="AI145" i="1"/>
  <c r="P145" i="1"/>
  <c r="R145" i="1"/>
  <c r="T145" i="1"/>
  <c r="V145" i="1"/>
  <c r="X145" i="1"/>
  <c r="Z145" i="1"/>
  <c r="AB145" i="1"/>
  <c r="AH145" i="1"/>
  <c r="K148" i="1"/>
  <c r="L148" i="1"/>
  <c r="N148" i="1"/>
  <c r="P148" i="1"/>
  <c r="R148" i="1"/>
  <c r="T148" i="1"/>
  <c r="V148" i="1"/>
  <c r="X148" i="1"/>
  <c r="Z148" i="1"/>
  <c r="AB148" i="1"/>
  <c r="AH148" i="1"/>
  <c r="K154" i="1"/>
  <c r="L154" i="1"/>
  <c r="N154" i="1"/>
  <c r="P154" i="1"/>
  <c r="R154" i="1"/>
  <c r="T154" i="1"/>
  <c r="V154" i="1"/>
  <c r="X154" i="1"/>
  <c r="Z154" i="1"/>
  <c r="AB154" i="1"/>
  <c r="AH154" i="1"/>
  <c r="K157" i="1"/>
  <c r="L157" i="1"/>
  <c r="N157" i="1"/>
  <c r="P157" i="1"/>
  <c r="R157" i="1"/>
  <c r="T157" i="1"/>
  <c r="V157" i="1"/>
  <c r="X157" i="1"/>
  <c r="Z157" i="1"/>
  <c r="AB157" i="1"/>
  <c r="AH157" i="1"/>
  <c r="K160" i="1"/>
  <c r="L160" i="1"/>
  <c r="N160" i="1"/>
  <c r="P160" i="1"/>
  <c r="R160" i="1"/>
  <c r="T160" i="1"/>
  <c r="V160" i="1"/>
  <c r="X160" i="1"/>
  <c r="Z160" i="1"/>
  <c r="AH160" i="1"/>
  <c r="K163" i="1"/>
  <c r="L163" i="1"/>
  <c r="N163" i="1"/>
  <c r="P163" i="1"/>
  <c r="R163" i="1"/>
  <c r="T163" i="1"/>
  <c r="V163" i="1"/>
  <c r="X163" i="1"/>
  <c r="Z163" i="1"/>
  <c r="AH163" i="1"/>
  <c r="Z121" i="1"/>
  <c r="AD121" i="1"/>
  <c r="AB121" i="1"/>
  <c r="AI121" i="1"/>
  <c r="Z124" i="1"/>
  <c r="AD124" i="1"/>
  <c r="AB124" i="1"/>
  <c r="AI124" i="1"/>
  <c r="AH109" i="1"/>
  <c r="D41" i="1"/>
  <c r="K258" i="1"/>
  <c r="L258" i="1"/>
  <c r="L259" i="1"/>
  <c r="M258" i="1"/>
  <c r="M259" i="1"/>
  <c r="N258" i="1"/>
  <c r="N259" i="1"/>
  <c r="O258" i="1"/>
  <c r="O259" i="1"/>
  <c r="P258" i="1"/>
  <c r="P259" i="1"/>
  <c r="Q258" i="1"/>
  <c r="Q259" i="1"/>
  <c r="R258" i="1"/>
  <c r="R259" i="1"/>
  <c r="S258" i="1"/>
  <c r="S259" i="1"/>
  <c r="T258" i="1"/>
  <c r="T259" i="1"/>
  <c r="U258" i="1"/>
  <c r="U259" i="1"/>
  <c r="I259" i="1"/>
  <c r="K166" i="1"/>
  <c r="V166" i="1"/>
  <c r="Z166" i="1"/>
  <c r="X166" i="1"/>
  <c r="K174" i="1"/>
  <c r="Q174" i="1"/>
  <c r="S174" i="1"/>
  <c r="K279" i="1"/>
  <c r="M279" i="1"/>
  <c r="K272" i="1"/>
  <c r="M272" i="1"/>
  <c r="L272" i="1"/>
  <c r="K265" i="1"/>
  <c r="P265" i="1"/>
  <c r="N265" i="1"/>
  <c r="M265" i="1"/>
  <c r="L265" i="1"/>
  <c r="K195" i="1"/>
  <c r="Q195" i="1"/>
  <c r="K188" i="1"/>
  <c r="L188" i="1"/>
  <c r="K181" i="1"/>
  <c r="M181" i="1"/>
  <c r="N181" i="1"/>
  <c r="AA174" i="1"/>
  <c r="Z174" i="1"/>
  <c r="Y174" i="1"/>
  <c r="X174" i="1"/>
  <c r="W174" i="1"/>
  <c r="V174" i="1"/>
  <c r="U174" i="1"/>
  <c r="T174" i="1"/>
  <c r="R174" i="1"/>
  <c r="P174" i="1"/>
  <c r="O174" i="1"/>
  <c r="N174" i="1"/>
  <c r="L174" i="1"/>
  <c r="D10" i="1"/>
  <c r="K209" i="1"/>
  <c r="W209" i="1"/>
  <c r="V209" i="1"/>
  <c r="Z209" i="1"/>
  <c r="AC209" i="1"/>
  <c r="D62" i="1"/>
  <c r="D59" i="1"/>
  <c r="D61" i="1"/>
  <c r="D58" i="1"/>
  <c r="N68" i="2"/>
  <c r="E5" i="3"/>
  <c r="G5" i="3"/>
  <c r="V63" i="2"/>
  <c r="W63" i="2"/>
  <c r="X63" i="2"/>
  <c r="V64" i="2"/>
  <c r="W64" i="2"/>
  <c r="X64" i="2"/>
  <c r="O64" i="2"/>
  <c r="Q62" i="2"/>
  <c r="R62" i="2"/>
  <c r="V65" i="2"/>
  <c r="W65" i="2"/>
  <c r="X65" i="2"/>
  <c r="P64" i="2"/>
  <c r="Q64" i="2"/>
  <c r="T64" i="2"/>
  <c r="W61" i="2"/>
  <c r="V61" i="2"/>
  <c r="W62" i="2"/>
  <c r="V62" i="2"/>
  <c r="M5" i="3"/>
  <c r="N5" i="3"/>
  <c r="O5" i="3"/>
  <c r="P5" i="3"/>
  <c r="I5" i="3"/>
  <c r="H5" i="3"/>
  <c r="L5" i="3"/>
  <c r="F66" i="2"/>
  <c r="F16" i="2"/>
  <c r="N12" i="2"/>
  <c r="O12" i="2"/>
  <c r="P12" i="2"/>
  <c r="R12" i="2"/>
  <c r="Q12" i="2"/>
  <c r="L13" i="3"/>
  <c r="V66" i="2"/>
  <c r="M12" i="3"/>
  <c r="U66" i="2"/>
  <c r="L12" i="3"/>
  <c r="E17" i="1"/>
  <c r="E18" i="1"/>
  <c r="E19" i="1"/>
  <c r="E20" i="1"/>
  <c r="D35" i="1"/>
  <c r="Q68" i="2"/>
  <c r="H64" i="2"/>
  <c r="H63" i="2"/>
  <c r="R64" i="2"/>
  <c r="R14" i="2"/>
  <c r="Q14" i="2"/>
  <c r="P14" i="2"/>
  <c r="O14" i="2"/>
  <c r="N14" i="2"/>
  <c r="F64" i="2"/>
  <c r="N10" i="2"/>
  <c r="L15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273" i="1"/>
  <c r="R20" i="2"/>
  <c r="K68" i="2"/>
  <c r="K18" i="2"/>
  <c r="N18" i="2"/>
  <c r="Q16" i="2"/>
  <c r="D68" i="2"/>
  <c r="D18" i="2"/>
  <c r="L68" i="2"/>
  <c r="L18" i="2"/>
  <c r="H66" i="2"/>
  <c r="H16" i="2"/>
  <c r="N16" i="2"/>
  <c r="M13" i="3"/>
  <c r="R66" i="2"/>
  <c r="R16" i="2"/>
  <c r="S66" i="2"/>
  <c r="Q18" i="2"/>
  <c r="P16" i="2"/>
  <c r="O16" i="2"/>
  <c r="C81" i="3"/>
  <c r="D81" i="3"/>
  <c r="C205" i="3"/>
  <c r="D205" i="3"/>
  <c r="C46" i="3"/>
  <c r="D46" i="3"/>
  <c r="C362" i="3"/>
  <c r="D362" i="3"/>
  <c r="C36" i="3"/>
  <c r="D36" i="3"/>
  <c r="C163" i="3"/>
  <c r="D163" i="3"/>
  <c r="C187" i="3"/>
  <c r="D187" i="3"/>
  <c r="C29" i="3"/>
  <c r="D29" i="3"/>
  <c r="C321" i="3"/>
  <c r="D321" i="3"/>
  <c r="C106" i="3"/>
  <c r="D106" i="3"/>
  <c r="C56" i="3"/>
  <c r="D56" i="3"/>
  <c r="C52" i="3"/>
  <c r="D52" i="3"/>
  <c r="C24" i="3"/>
  <c r="D24" i="3"/>
  <c r="C197" i="3"/>
  <c r="D197" i="3"/>
  <c r="C236" i="3"/>
  <c r="D236" i="3"/>
  <c r="C323" i="3"/>
  <c r="D323" i="3"/>
  <c r="C260" i="3"/>
  <c r="D260" i="3"/>
  <c r="C80" i="3"/>
  <c r="D80" i="3"/>
  <c r="C140" i="3"/>
  <c r="D140" i="3"/>
  <c r="C326" i="3"/>
  <c r="D326" i="3"/>
  <c r="C337" i="3"/>
  <c r="D337" i="3"/>
  <c r="C162" i="3"/>
  <c r="D162" i="3"/>
  <c r="C334" i="3"/>
  <c r="D334" i="3"/>
  <c r="C273" i="3"/>
  <c r="D273" i="3"/>
  <c r="C127" i="3"/>
  <c r="D127" i="3"/>
  <c r="C165" i="3"/>
  <c r="D165" i="3"/>
  <c r="C131" i="3"/>
  <c r="D131" i="3"/>
  <c r="C160" i="3"/>
  <c r="D160" i="3"/>
  <c r="C330" i="3"/>
  <c r="D330" i="3"/>
  <c r="C209" i="3"/>
  <c r="D209" i="3"/>
  <c r="C183" i="3"/>
  <c r="D183" i="3"/>
  <c r="C255" i="3"/>
  <c r="D255" i="3"/>
  <c r="C316" i="3"/>
  <c r="D316" i="3"/>
  <c r="C87" i="3"/>
  <c r="D87" i="3"/>
  <c r="C309" i="3"/>
  <c r="D309" i="3"/>
  <c r="C61" i="3"/>
  <c r="D61" i="3"/>
  <c r="C306" i="3"/>
  <c r="D306" i="3"/>
  <c r="C254" i="3"/>
  <c r="D254" i="3"/>
  <c r="C96" i="3"/>
  <c r="D96" i="3"/>
  <c r="C120" i="3"/>
  <c r="D120" i="3"/>
  <c r="C364" i="3"/>
  <c r="D364" i="3"/>
  <c r="C299" i="3"/>
  <c r="D299" i="3"/>
  <c r="C191" i="3"/>
  <c r="D191" i="3"/>
  <c r="C64" i="3"/>
  <c r="D64" i="3"/>
  <c r="C63" i="3"/>
  <c r="D63" i="3"/>
  <c r="C231" i="3"/>
  <c r="D231" i="3"/>
  <c r="C331" i="3"/>
  <c r="D331" i="3"/>
  <c r="C161" i="3"/>
  <c r="D161" i="3"/>
  <c r="C347" i="3"/>
  <c r="D347" i="3"/>
  <c r="C73" i="3"/>
  <c r="D73" i="3"/>
  <c r="C32" i="3"/>
  <c r="D32" i="3"/>
  <c r="C204" i="3"/>
  <c r="D204" i="3"/>
  <c r="C218" i="3"/>
  <c r="D218" i="3"/>
  <c r="C210" i="3"/>
  <c r="D210" i="3"/>
  <c r="C35" i="3"/>
  <c r="D35" i="3"/>
  <c r="C49" i="3"/>
  <c r="D49" i="3"/>
  <c r="C368" i="3"/>
  <c r="D368" i="3"/>
  <c r="C245" i="3"/>
  <c r="D245" i="3"/>
  <c r="C328" i="3"/>
  <c r="D328" i="3"/>
  <c r="C195" i="3"/>
  <c r="D195" i="3"/>
  <c r="C200" i="3"/>
  <c r="D200" i="3"/>
  <c r="C176" i="3"/>
  <c r="D176" i="3"/>
  <c r="C103" i="3"/>
  <c r="D103" i="3"/>
  <c r="C108" i="3"/>
  <c r="D108" i="3"/>
  <c r="C324" i="3"/>
  <c r="D324" i="3"/>
  <c r="C142" i="3"/>
  <c r="D142" i="3"/>
  <c r="C129" i="3"/>
  <c r="D129" i="3"/>
  <c r="C268" i="3"/>
  <c r="D268" i="3"/>
  <c r="C154" i="3"/>
  <c r="D154" i="3"/>
  <c r="C213" i="3"/>
  <c r="D213" i="3"/>
  <c r="C234" i="3"/>
  <c r="D234" i="3"/>
  <c r="C51" i="3"/>
  <c r="D51" i="3"/>
  <c r="C130" i="3"/>
  <c r="D130" i="3"/>
  <c r="C240" i="3"/>
  <c r="D240" i="3"/>
  <c r="C188" i="3"/>
  <c r="D188" i="3"/>
  <c r="C60" i="3"/>
  <c r="D60" i="3"/>
  <c r="C38" i="3"/>
  <c r="D38" i="3"/>
  <c r="C71" i="3"/>
  <c r="D71" i="3"/>
  <c r="C57" i="3"/>
  <c r="D57" i="3"/>
  <c r="C280" i="3"/>
  <c r="D280" i="3"/>
  <c r="C22" i="3"/>
  <c r="D22" i="3"/>
  <c r="C283" i="3"/>
  <c r="D283" i="3"/>
  <c r="C177" i="3"/>
  <c r="D177" i="3"/>
  <c r="C371" i="3"/>
  <c r="D371" i="3"/>
  <c r="C168" i="3"/>
  <c r="D168" i="3"/>
  <c r="C192" i="3"/>
  <c r="D192" i="3"/>
  <c r="C146" i="3"/>
  <c r="D146" i="3"/>
  <c r="C201" i="3"/>
  <c r="D201" i="3"/>
  <c r="C91" i="3"/>
  <c r="D91" i="3"/>
  <c r="C145" i="3"/>
  <c r="D145" i="3"/>
  <c r="C239" i="3"/>
  <c r="D239" i="3"/>
  <c r="C352" i="3"/>
  <c r="D352" i="3"/>
  <c r="C374" i="3"/>
  <c r="D374" i="3"/>
  <c r="C341" i="3"/>
  <c r="D341" i="3"/>
  <c r="C353" i="3"/>
  <c r="D353" i="3"/>
  <c r="C164" i="3"/>
  <c r="D164" i="3"/>
  <c r="C359" i="3"/>
  <c r="D359" i="3"/>
  <c r="C272" i="3"/>
  <c r="D272" i="3"/>
  <c r="C219" i="3"/>
  <c r="D219" i="3"/>
  <c r="C267" i="3"/>
  <c r="D267" i="3"/>
  <c r="C261" i="3"/>
  <c r="D261" i="3"/>
  <c r="C109" i="3"/>
  <c r="D109" i="3"/>
  <c r="C348" i="3"/>
  <c r="D348" i="3"/>
  <c r="C259" i="3"/>
  <c r="D259" i="3"/>
  <c r="C139" i="3"/>
  <c r="D139" i="3"/>
  <c r="C169" i="3"/>
  <c r="D169" i="3"/>
  <c r="C178" i="3"/>
  <c r="D178" i="3"/>
  <c r="C287" i="3"/>
  <c r="D287" i="3"/>
  <c r="C244" i="3"/>
  <c r="D244" i="3"/>
  <c r="C72" i="3"/>
  <c r="D72" i="3"/>
  <c r="C173" i="3"/>
  <c r="D173" i="3"/>
  <c r="C33" i="3"/>
  <c r="D33" i="3"/>
  <c r="C34" i="3"/>
  <c r="D34" i="3"/>
  <c r="C31" i="3"/>
  <c r="D31" i="3"/>
  <c r="C263" i="3"/>
  <c r="D263" i="3"/>
  <c r="C102" i="3"/>
  <c r="D102" i="3"/>
  <c r="C151" i="3"/>
  <c r="D151" i="3"/>
  <c r="C211" i="3"/>
  <c r="D211" i="3"/>
  <c r="C349" i="3"/>
  <c r="D349" i="3"/>
  <c r="C277" i="3"/>
  <c r="D277" i="3"/>
  <c r="C241" i="3"/>
  <c r="D241" i="3"/>
  <c r="C376" i="3"/>
  <c r="D376" i="3"/>
  <c r="C43" i="3"/>
  <c r="D43" i="3"/>
  <c r="C180" i="3"/>
  <c r="D180" i="3"/>
  <c r="C357" i="3"/>
  <c r="D357" i="3"/>
  <c r="C286" i="3"/>
  <c r="D286" i="3"/>
  <c r="C225" i="3"/>
  <c r="D225" i="3"/>
  <c r="C262" i="3"/>
  <c r="D262" i="3"/>
  <c r="C147" i="3"/>
  <c r="D147" i="3"/>
  <c r="C246" i="3"/>
  <c r="D246" i="3"/>
  <c r="C249" i="3"/>
  <c r="D249" i="3"/>
  <c r="C190" i="3"/>
  <c r="D190" i="3"/>
  <c r="C125" i="3"/>
  <c r="D125" i="3"/>
  <c r="C332" i="3"/>
  <c r="D332" i="3"/>
  <c r="C86" i="3"/>
  <c r="D86" i="3"/>
  <c r="C82" i="3"/>
  <c r="D82" i="3"/>
  <c r="C185" i="3"/>
  <c r="D185" i="3"/>
  <c r="C66" i="3"/>
  <c r="D66" i="3"/>
  <c r="C170" i="3"/>
  <c r="D170" i="3"/>
  <c r="C157" i="3"/>
  <c r="D157" i="3"/>
  <c r="C150" i="3"/>
  <c r="D150" i="3"/>
  <c r="C355" i="3"/>
  <c r="D355" i="3"/>
  <c r="C186" i="3"/>
  <c r="D186" i="3"/>
  <c r="C59" i="3"/>
  <c r="D59" i="3"/>
  <c r="C375" i="3"/>
  <c r="D375" i="3"/>
  <c r="C121" i="3"/>
  <c r="D121" i="3"/>
  <c r="C203" i="3"/>
  <c r="D203" i="3"/>
  <c r="C174" i="3"/>
  <c r="D174" i="3"/>
  <c r="C20" i="1"/>
  <c r="C354" i="3"/>
  <c r="D354" i="3"/>
  <c r="C358" i="3"/>
  <c r="D358" i="3"/>
  <c r="C179" i="3"/>
  <c r="D179" i="3"/>
  <c r="C370" i="3"/>
  <c r="D370" i="3"/>
  <c r="C279" i="3"/>
  <c r="D279" i="3"/>
  <c r="C365" i="3"/>
  <c r="D365" i="3"/>
  <c r="C42" i="3"/>
  <c r="D42" i="3"/>
  <c r="C327" i="3"/>
  <c r="D327" i="3"/>
  <c r="C85" i="3"/>
  <c r="D85" i="3"/>
  <c r="C223" i="3"/>
  <c r="D223" i="3"/>
  <c r="C297" i="3"/>
  <c r="D297" i="3"/>
  <c r="C314" i="3"/>
  <c r="D314" i="3"/>
  <c r="C198" i="3"/>
  <c r="D198" i="3"/>
  <c r="C271" i="3"/>
  <c r="D271" i="3"/>
  <c r="C228" i="3"/>
  <c r="D228" i="3"/>
  <c r="C135" i="3"/>
  <c r="D135" i="3"/>
  <c r="C143" i="3"/>
  <c r="D143" i="3"/>
  <c r="C67" i="3"/>
  <c r="D67" i="3"/>
  <c r="C19" i="1"/>
  <c r="C199" i="3"/>
  <c r="D199" i="3"/>
  <c r="C214" i="3"/>
  <c r="D214" i="3"/>
  <c r="C116" i="3"/>
  <c r="D116" i="3"/>
  <c r="C148" i="3"/>
  <c r="D148" i="3"/>
  <c r="C264" i="3"/>
  <c r="D264" i="3"/>
  <c r="C111" i="3"/>
  <c r="D111" i="3"/>
  <c r="C269" i="3"/>
  <c r="D269" i="3"/>
  <c r="C257" i="3"/>
  <c r="D257" i="3"/>
  <c r="C318" i="3"/>
  <c r="D318" i="3"/>
  <c r="C300" i="3"/>
  <c r="D300" i="3"/>
  <c r="C166" i="3"/>
  <c r="D166" i="3"/>
  <c r="C288" i="3"/>
  <c r="D288" i="3"/>
  <c r="C134" i="3"/>
  <c r="D134" i="3"/>
  <c r="C377" i="3"/>
  <c r="D377" i="3"/>
  <c r="C93" i="3"/>
  <c r="D93" i="3"/>
  <c r="C344" i="3"/>
  <c r="D344" i="3"/>
  <c r="C68" i="3"/>
  <c r="D68" i="3"/>
  <c r="C100" i="3"/>
  <c r="D100" i="3"/>
  <c r="C58" i="3"/>
  <c r="D58" i="3"/>
  <c r="C181" i="3"/>
  <c r="D181" i="3"/>
  <c r="C298" i="3"/>
  <c r="D298" i="3"/>
  <c r="C26" i="3"/>
  <c r="D26" i="3"/>
  <c r="C70" i="3"/>
  <c r="D70" i="3"/>
  <c r="C242" i="3"/>
  <c r="D242" i="3"/>
  <c r="C229" i="3"/>
  <c r="D229" i="3"/>
  <c r="C123" i="3"/>
  <c r="D123" i="3"/>
  <c r="C350" i="3"/>
  <c r="D350" i="3"/>
  <c r="C152" i="3"/>
  <c r="D152" i="3"/>
  <c r="C84" i="3"/>
  <c r="D84" i="3"/>
  <c r="C117" i="3"/>
  <c r="D117" i="3"/>
  <c r="C266" i="3"/>
  <c r="D266" i="3"/>
  <c r="C345" i="3"/>
  <c r="D345" i="3"/>
  <c r="C222" i="3"/>
  <c r="D222" i="3"/>
  <c r="C227" i="3"/>
  <c r="D227" i="3"/>
  <c r="C247" i="3"/>
  <c r="D247" i="3"/>
  <c r="C50" i="3"/>
  <c r="D50" i="3"/>
  <c r="C202" i="3"/>
  <c r="D202" i="3"/>
  <c r="C41" i="3"/>
  <c r="D41" i="3"/>
  <c r="C149" i="3"/>
  <c r="D149" i="3"/>
  <c r="C252" i="3"/>
  <c r="D252" i="3"/>
  <c r="C333" i="3"/>
  <c r="D333" i="3"/>
  <c r="C303" i="3"/>
  <c r="D303" i="3"/>
  <c r="C208" i="3"/>
  <c r="D208" i="3"/>
  <c r="C235" i="3"/>
  <c r="D235" i="3"/>
  <c r="C144" i="3"/>
  <c r="D144" i="3"/>
  <c r="C136" i="3"/>
  <c r="D136" i="3"/>
  <c r="C312" i="3"/>
  <c r="D312" i="3"/>
  <c r="C253" i="3"/>
  <c r="D253" i="3"/>
  <c r="C320" i="3"/>
  <c r="D320" i="3"/>
  <c r="C196" i="3"/>
  <c r="D196" i="3"/>
  <c r="C23" i="3"/>
  <c r="D23" i="3"/>
  <c r="C92" i="3"/>
  <c r="D92" i="3"/>
  <c r="C30" i="3"/>
  <c r="D30" i="3"/>
  <c r="C278" i="3"/>
  <c r="D278" i="3"/>
  <c r="C217" i="3"/>
  <c r="D217" i="3"/>
  <c r="C189" i="3"/>
  <c r="D189" i="3"/>
  <c r="C311" i="3"/>
  <c r="D311" i="3"/>
  <c r="C78" i="3"/>
  <c r="D78" i="3"/>
  <c r="C90" i="3"/>
  <c r="D90" i="3"/>
  <c r="C17" i="3"/>
  <c r="D17" i="3"/>
  <c r="C119" i="3"/>
  <c r="D119" i="3"/>
  <c r="C110" i="3"/>
  <c r="D110" i="3"/>
  <c r="C296" i="3"/>
  <c r="D296" i="3"/>
  <c r="C182" i="3"/>
  <c r="D182" i="3"/>
  <c r="C322" i="3"/>
  <c r="D322" i="3"/>
  <c r="C285" i="3"/>
  <c r="D285" i="3"/>
  <c r="C107" i="3"/>
  <c r="D107" i="3"/>
  <c r="C79" i="3"/>
  <c r="D79" i="3"/>
  <c r="C310" i="3"/>
  <c r="D310" i="3"/>
  <c r="C226" i="3"/>
  <c r="D226" i="3"/>
  <c r="C62" i="3"/>
  <c r="D62" i="3"/>
  <c r="C282" i="3"/>
  <c r="D282" i="3"/>
  <c r="C77" i="3"/>
  <c r="D77" i="3"/>
  <c r="C215" i="3"/>
  <c r="D215" i="3"/>
  <c r="C101" i="3"/>
  <c r="D101" i="3"/>
  <c r="C305" i="3"/>
  <c r="D305" i="3"/>
  <c r="C243" i="3"/>
  <c r="D243" i="3"/>
  <c r="C301" i="3"/>
  <c r="D301" i="3"/>
  <c r="C175" i="3"/>
  <c r="D175" i="3"/>
  <c r="C104" i="3"/>
  <c r="D104" i="3"/>
  <c r="C220" i="3"/>
  <c r="D220" i="3"/>
  <c r="C302" i="3"/>
  <c r="D302" i="3"/>
  <c r="C251" i="3"/>
  <c r="D251" i="3"/>
  <c r="C340" i="3"/>
  <c r="D340" i="3"/>
  <c r="C138" i="3"/>
  <c r="D138" i="3"/>
  <c r="C270" i="3"/>
  <c r="D270" i="3"/>
  <c r="C194" i="3"/>
  <c r="D194" i="3"/>
  <c r="C54" i="3"/>
  <c r="D54" i="3"/>
  <c r="C369" i="3"/>
  <c r="D369" i="3"/>
  <c r="C39" i="3"/>
  <c r="D39" i="3"/>
  <c r="C74" i="3"/>
  <c r="D74" i="3"/>
  <c r="C112" i="3"/>
  <c r="D112" i="3"/>
  <c r="C329" i="3"/>
  <c r="D329" i="3"/>
  <c r="C346" i="3"/>
  <c r="D346" i="3"/>
  <c r="C114" i="3"/>
  <c r="D114" i="3"/>
  <c r="C366" i="3"/>
  <c r="D366" i="3"/>
  <c r="C48" i="3"/>
  <c r="D48" i="3"/>
  <c r="C335" i="3"/>
  <c r="D335" i="3"/>
  <c r="C351" i="3"/>
  <c r="D351" i="3"/>
  <c r="C137" i="3"/>
  <c r="D137" i="3"/>
  <c r="C206" i="3"/>
  <c r="D206" i="3"/>
  <c r="C216" i="3"/>
  <c r="D216" i="3"/>
  <c r="C115" i="3"/>
  <c r="D115" i="3"/>
  <c r="C315" i="3"/>
  <c r="D315" i="3"/>
  <c r="C25" i="3"/>
  <c r="D25" i="3"/>
  <c r="C361" i="3"/>
  <c r="D361" i="3"/>
  <c r="C126" i="3"/>
  <c r="D126" i="3"/>
  <c r="C258" i="3"/>
  <c r="D258" i="3"/>
  <c r="C275" i="3"/>
  <c r="D275" i="3"/>
  <c r="C317" i="3"/>
  <c r="D317" i="3"/>
  <c r="C89" i="3"/>
  <c r="D89" i="3"/>
  <c r="C97" i="3"/>
  <c r="D97" i="3"/>
  <c r="C158" i="3"/>
  <c r="D158" i="3"/>
  <c r="C233" i="3"/>
  <c r="D233" i="3"/>
  <c r="C156" i="3"/>
  <c r="D156" i="3"/>
  <c r="C95" i="3"/>
  <c r="D95" i="3"/>
  <c r="C167" i="3"/>
  <c r="D167" i="3"/>
  <c r="C172" i="3"/>
  <c r="D172" i="3"/>
  <c r="C53" i="3"/>
  <c r="D53" i="3"/>
  <c r="C47" i="3"/>
  <c r="D47" i="3"/>
  <c r="C248" i="3"/>
  <c r="D248" i="3"/>
  <c r="C55" i="3"/>
  <c r="D55" i="3"/>
  <c r="C141" i="3"/>
  <c r="D141" i="3"/>
  <c r="C343" i="3"/>
  <c r="D343" i="3"/>
  <c r="C367" i="3"/>
  <c r="D367" i="3"/>
  <c r="C276" i="3"/>
  <c r="D276" i="3"/>
  <c r="C98" i="3"/>
  <c r="D98" i="3"/>
  <c r="C171" i="3"/>
  <c r="D171" i="3"/>
  <c r="C28" i="3"/>
  <c r="D28" i="3"/>
  <c r="C308" i="3"/>
  <c r="D308" i="3"/>
  <c r="C133" i="3"/>
  <c r="D133" i="3"/>
  <c r="C45" i="3"/>
  <c r="D45" i="3"/>
  <c r="C363" i="3"/>
  <c r="D363" i="3"/>
  <c r="C128" i="3"/>
  <c r="D128" i="3"/>
  <c r="C18" i="1"/>
  <c r="C336" i="3"/>
  <c r="D336" i="3"/>
  <c r="C83" i="3"/>
  <c r="D83" i="3"/>
  <c r="C265" i="3"/>
  <c r="D265" i="3"/>
  <c r="C372" i="3"/>
  <c r="D372" i="3"/>
  <c r="C250" i="3"/>
  <c r="D250" i="3"/>
  <c r="C339" i="3"/>
  <c r="D339" i="3"/>
  <c r="C40" i="3"/>
  <c r="D40" i="3"/>
  <c r="C212" i="3"/>
  <c r="D212" i="3"/>
  <c r="C338" i="3"/>
  <c r="D338" i="3"/>
  <c r="C284" i="3"/>
  <c r="D284" i="3"/>
  <c r="C256" i="3"/>
  <c r="D256" i="3"/>
  <c r="C232" i="3"/>
  <c r="D232" i="3"/>
  <c r="C44" i="3"/>
  <c r="D44" i="3"/>
  <c r="C105" i="3"/>
  <c r="D105" i="3"/>
  <c r="C307" i="3"/>
  <c r="D307" i="3"/>
  <c r="C193" i="3"/>
  <c r="D193" i="3"/>
  <c r="C237" i="3"/>
  <c r="D237" i="3"/>
  <c r="C289" i="3"/>
  <c r="D289" i="3"/>
  <c r="C360" i="3"/>
  <c r="D360" i="3"/>
  <c r="C159" i="3"/>
  <c r="D159" i="3"/>
  <c r="C224" i="3"/>
  <c r="D224" i="3"/>
  <c r="C230" i="3"/>
  <c r="D230" i="3"/>
  <c r="C132" i="3"/>
  <c r="D132" i="3"/>
  <c r="C313" i="3"/>
  <c r="D313" i="3"/>
  <c r="C221" i="3"/>
  <c r="D221" i="3"/>
  <c r="C291" i="3"/>
  <c r="D291" i="3"/>
  <c r="C373" i="3"/>
  <c r="D373" i="3"/>
  <c r="C207" i="3"/>
  <c r="D207" i="3"/>
  <c r="C356" i="3"/>
  <c r="D356" i="3"/>
  <c r="C69" i="3"/>
  <c r="D69" i="3"/>
  <c r="C94" i="3"/>
  <c r="D94" i="3"/>
  <c r="C113" i="3"/>
  <c r="D113" i="3"/>
  <c r="C27" i="3"/>
  <c r="D27" i="3"/>
  <c r="C122" i="3"/>
  <c r="D122" i="3"/>
  <c r="C76" i="3"/>
  <c r="D76" i="3"/>
  <c r="C155" i="3"/>
  <c r="D155" i="3"/>
  <c r="C319" i="3"/>
  <c r="D319" i="3"/>
  <c r="C184" i="3"/>
  <c r="D184" i="3"/>
  <c r="C118" i="3"/>
  <c r="D118" i="3"/>
  <c r="C153" i="3"/>
  <c r="D153" i="3"/>
  <c r="C21" i="3"/>
  <c r="D21" i="3"/>
  <c r="C37" i="3"/>
  <c r="D37" i="3"/>
  <c r="C238" i="3"/>
  <c r="D238" i="3"/>
  <c r="C99" i="3"/>
  <c r="D99" i="3"/>
  <c r="C342" i="3"/>
  <c r="D342" i="3"/>
  <c r="C304" i="3"/>
  <c r="D304" i="3"/>
  <c r="C274" i="3"/>
  <c r="D274" i="3"/>
  <c r="C65" i="3"/>
  <c r="D65" i="3"/>
  <c r="C325" i="3"/>
  <c r="D325" i="3"/>
  <c r="C124" i="3"/>
  <c r="D124" i="3"/>
  <c r="C88" i="3"/>
  <c r="D88" i="3"/>
  <c r="C290" i="3"/>
  <c r="D290" i="3"/>
  <c r="C75" i="3"/>
  <c r="D75" i="3"/>
  <c r="C281" i="3"/>
  <c r="D281" i="3"/>
  <c r="C294" i="3"/>
  <c r="E294" i="3"/>
  <c r="D294" i="3"/>
  <c r="C295" i="3"/>
  <c r="E295" i="3"/>
  <c r="D295" i="3"/>
  <c r="C16" i="3"/>
  <c r="D16" i="3"/>
  <c r="F35" i="1"/>
  <c r="C19" i="3"/>
  <c r="D19" i="3"/>
  <c r="E19" i="3"/>
  <c r="D36" i="1"/>
  <c r="C293" i="3"/>
  <c r="E293" i="3"/>
  <c r="D293" i="3"/>
  <c r="C12" i="3"/>
  <c r="F31" i="1"/>
  <c r="C14" i="3"/>
  <c r="D14" i="3"/>
  <c r="F33" i="1"/>
  <c r="C18" i="3"/>
  <c r="D18" i="3"/>
  <c r="C17" i="1"/>
  <c r="C23" i="1"/>
  <c r="C15" i="3"/>
  <c r="D15" i="3"/>
  <c r="F34" i="1"/>
  <c r="C13" i="3"/>
  <c r="D13" i="3"/>
  <c r="F32" i="1"/>
  <c r="C292" i="3"/>
  <c r="D292" i="3"/>
  <c r="E292" i="3"/>
  <c r="C20" i="3"/>
  <c r="E20" i="3"/>
  <c r="D20" i="3"/>
  <c r="B60" i="1"/>
  <c r="D12" i="3"/>
  <c r="D11" i="3"/>
  <c r="E18" i="3"/>
  <c r="E11" i="3"/>
  <c r="H62" i="2"/>
  <c r="H12" i="2"/>
  <c r="D60" i="1"/>
  <c r="C60" i="1"/>
  <c r="B59" i="1"/>
  <c r="B61" i="1"/>
  <c r="H13" i="2"/>
  <c r="E39" i="1"/>
  <c r="G68" i="2"/>
  <c r="G18" i="2"/>
  <c r="L61" i="2"/>
  <c r="L11" i="2"/>
  <c r="K61" i="2"/>
  <c r="K11" i="2"/>
  <c r="H61" i="2"/>
  <c r="H11" i="2"/>
  <c r="B62" i="1"/>
  <c r="B58" i="1"/>
  <c r="B26" i="1"/>
  <c r="H14" i="2"/>
  <c r="A25" i="1"/>
  <c r="H68" i="2"/>
  <c r="H18" i="2"/>
  <c r="Q16" i="1"/>
  <c r="S16" i="1"/>
  <c r="M16" i="1"/>
  <c r="T16" i="1"/>
  <c r="N16" i="1"/>
  <c r="A28" i="1"/>
  <c r="O16" i="1"/>
  <c r="R16" i="1"/>
  <c r="P16" i="1"/>
  <c r="L16" i="1"/>
  <c r="U15" i="1"/>
  <c r="R15" i="1"/>
  <c r="B29" i="1"/>
  <c r="N166" i="1"/>
  <c r="P166" i="1"/>
  <c r="R166" i="1"/>
  <c r="T166" i="1"/>
  <c r="AF124" i="1"/>
  <c r="AF130" i="1"/>
  <c r="AF115" i="1"/>
  <c r="AF142" i="1"/>
  <c r="T109" i="1"/>
  <c r="AF154" i="1"/>
  <c r="AC109" i="1"/>
  <c r="AF148" i="1"/>
  <c r="AF151" i="1"/>
  <c r="N109" i="1"/>
  <c r="AF118" i="1"/>
  <c r="AF163" i="1"/>
  <c r="AA109" i="1"/>
  <c r="AF133" i="1"/>
  <c r="AF157" i="1"/>
  <c r="AF160" i="1"/>
  <c r="L166" i="1"/>
  <c r="AH166" i="1"/>
  <c r="AF166" i="1"/>
  <c r="AF139" i="1"/>
  <c r="AF136" i="1"/>
  <c r="AF145" i="1"/>
  <c r="Y109" i="1"/>
  <c r="AF127" i="1"/>
  <c r="P109" i="1"/>
  <c r="R109" i="1"/>
  <c r="AF121" i="1"/>
  <c r="W109" i="1"/>
  <c r="L109" i="1"/>
  <c r="U108" i="1"/>
  <c r="Q175" i="1"/>
  <c r="X195" i="1"/>
  <c r="X196" i="1"/>
  <c r="K237" i="1"/>
  <c r="R237" i="1"/>
  <c r="R238" i="1"/>
  <c r="X175" i="1"/>
  <c r="S175" i="1"/>
  <c r="P266" i="1"/>
  <c r="P279" i="1"/>
  <c r="P280" i="1"/>
  <c r="K251" i="1"/>
  <c r="S251" i="1"/>
  <c r="S252" i="1"/>
  <c r="K202" i="1"/>
  <c r="U202" i="1"/>
  <c r="U203" i="1"/>
  <c r="T195" i="1"/>
  <c r="T196" i="1"/>
  <c r="R175" i="1"/>
  <c r="Z175" i="1"/>
  <c r="Q272" i="1"/>
  <c r="Q273" i="1"/>
  <c r="K216" i="1"/>
  <c r="U216" i="1"/>
  <c r="U217" i="1"/>
  <c r="K230" i="1"/>
  <c r="X230" i="1"/>
  <c r="X231" i="1"/>
  <c r="K244" i="1"/>
  <c r="R244" i="1"/>
  <c r="R245" i="1"/>
  <c r="K286" i="1"/>
  <c r="O286" i="1"/>
  <c r="O287" i="1"/>
  <c r="P181" i="1"/>
  <c r="P182" i="1"/>
  <c r="T188" i="1"/>
  <c r="T189" i="1"/>
  <c r="AC210" i="1"/>
  <c r="AB188" i="1"/>
  <c r="AB189" i="1"/>
  <c r="X209" i="1"/>
  <c r="X210" i="1"/>
  <c r="V251" i="1"/>
  <c r="V252" i="1"/>
  <c r="W188" i="1"/>
  <c r="W189" i="1"/>
  <c r="M237" i="1"/>
  <c r="M238" i="1"/>
  <c r="N175" i="1"/>
  <c r="T175" i="1"/>
  <c r="P175" i="1"/>
  <c r="M174" i="1"/>
  <c r="M175" i="1"/>
  <c r="O244" i="1"/>
  <c r="O245" i="1"/>
  <c r="AA175" i="1"/>
  <c r="U175" i="1"/>
  <c r="W175" i="1"/>
  <c r="O175" i="1"/>
  <c r="M216" i="1"/>
  <c r="M217" i="1"/>
  <c r="Z237" i="1"/>
  <c r="Z238" i="1"/>
  <c r="Z230" i="1"/>
  <c r="Z231" i="1"/>
  <c r="M182" i="1"/>
  <c r="N182" i="1"/>
  <c r="K223" i="1"/>
  <c r="M223" i="1"/>
  <c r="M224" i="1"/>
  <c r="V216" i="1"/>
  <c r="V217" i="1"/>
  <c r="AB195" i="1"/>
  <c r="AB196" i="1"/>
  <c r="W216" i="1"/>
  <c r="W217" i="1"/>
  <c r="AA195" i="1"/>
  <c r="AA196" i="1"/>
  <c r="R195" i="1"/>
  <c r="R196" i="1"/>
  <c r="Y223" i="1"/>
  <c r="Y224" i="1"/>
  <c r="U223" i="1"/>
  <c r="U224" i="1"/>
  <c r="N244" i="1"/>
  <c r="N245" i="1"/>
  <c r="S195" i="1"/>
  <c r="S196" i="1"/>
  <c r="N195" i="1"/>
  <c r="N196" i="1"/>
  <c r="P223" i="1"/>
  <c r="P224" i="1"/>
  <c r="W181" i="1"/>
  <c r="W182" i="1"/>
  <c r="W195" i="1"/>
  <c r="W196" i="1"/>
  <c r="M202" i="1"/>
  <c r="M203" i="1"/>
  <c r="Z195" i="1"/>
  <c r="Z196" i="1"/>
  <c r="Q196" i="1"/>
  <c r="Y175" i="1"/>
  <c r="V175" i="1"/>
  <c r="S244" i="1"/>
  <c r="S245" i="1"/>
  <c r="X188" i="1"/>
  <c r="X189" i="1"/>
  <c r="N216" i="1"/>
  <c r="N217" i="1"/>
  <c r="AA216" i="1"/>
  <c r="AA217" i="1"/>
  <c r="X216" i="1"/>
  <c r="X217" i="1"/>
  <c r="N286" i="1"/>
  <c r="N287" i="1"/>
  <c r="O230" i="1"/>
  <c r="O231" i="1"/>
  <c r="AA188" i="1"/>
  <c r="AA189" i="1"/>
  <c r="P237" i="1"/>
  <c r="P238" i="1"/>
  <c r="T237" i="1"/>
  <c r="T238" i="1"/>
  <c r="O202" i="1"/>
  <c r="O203" i="1"/>
  <c r="S202" i="1"/>
  <c r="S203" i="1"/>
  <c r="T202" i="1"/>
  <c r="T203" i="1"/>
  <c r="V202" i="1"/>
  <c r="V203" i="1"/>
  <c r="W202" i="1"/>
  <c r="W203" i="1"/>
  <c r="P202" i="1"/>
  <c r="P203" i="1"/>
  <c r="Z202" i="1"/>
  <c r="Z203" i="1"/>
  <c r="S272" i="1"/>
  <c r="S273" i="1"/>
  <c r="X181" i="1"/>
  <c r="X182" i="1"/>
  <c r="AA181" i="1"/>
  <c r="AA182" i="1"/>
  <c r="Y202" i="1"/>
  <c r="Y203" i="1"/>
  <c r="Q202" i="1"/>
  <c r="Q203" i="1"/>
  <c r="T244" i="1"/>
  <c r="T245" i="1"/>
  <c r="N202" i="1"/>
  <c r="N203" i="1"/>
  <c r="P251" i="1"/>
  <c r="P252" i="1"/>
  <c r="M251" i="1"/>
  <c r="M252" i="1"/>
  <c r="S181" i="1"/>
  <c r="S182" i="1"/>
  <c r="R202" i="1"/>
  <c r="R203" i="1"/>
  <c r="U237" i="1"/>
  <c r="U238" i="1"/>
  <c r="V237" i="1"/>
  <c r="V238" i="1"/>
  <c r="Q237" i="1"/>
  <c r="Q238" i="1"/>
  <c r="N237" i="1"/>
  <c r="N238" i="1"/>
  <c r="AA202" i="1"/>
  <c r="AA203" i="1"/>
  <c r="O237" i="1"/>
  <c r="O238" i="1"/>
  <c r="Q181" i="1"/>
  <c r="Q182" i="1"/>
  <c r="O181" i="1"/>
  <c r="O182" i="1"/>
  <c r="X237" i="1"/>
  <c r="X238" i="1"/>
  <c r="X202" i="1"/>
  <c r="X203" i="1"/>
  <c r="Y237" i="1"/>
  <c r="Y238" i="1"/>
  <c r="AB202" i="1"/>
  <c r="AB203" i="1"/>
  <c r="V195" i="1"/>
  <c r="V196" i="1"/>
  <c r="P195" i="1"/>
  <c r="P196" i="1"/>
  <c r="O195" i="1"/>
  <c r="O196" i="1"/>
  <c r="M195" i="1"/>
  <c r="M196" i="1"/>
  <c r="W210" i="1"/>
  <c r="N209" i="1"/>
  <c r="N210" i="1"/>
  <c r="U209" i="1"/>
  <c r="U210" i="1"/>
  <c r="AA209" i="1"/>
  <c r="AA210" i="1"/>
  <c r="R279" i="1"/>
  <c r="R280" i="1"/>
  <c r="Q279" i="1"/>
  <c r="Q280" i="1"/>
  <c r="S279" i="1"/>
  <c r="S280" i="1"/>
  <c r="M280" i="1"/>
  <c r="M230" i="1"/>
  <c r="M231" i="1"/>
  <c r="Y209" i="1"/>
  <c r="Y210" i="1"/>
  <c r="Q188" i="1"/>
  <c r="Q189" i="1"/>
  <c r="N188" i="1"/>
  <c r="N189" i="1"/>
  <c r="Z188" i="1"/>
  <c r="Z189" i="1"/>
  <c r="O188" i="1"/>
  <c r="O189" i="1"/>
  <c r="M188" i="1"/>
  <c r="M189" i="1"/>
  <c r="AD223" i="1"/>
  <c r="AD224" i="1"/>
  <c r="AB223" i="1"/>
  <c r="AB224" i="1"/>
  <c r="R223" i="1"/>
  <c r="R224" i="1"/>
  <c r="Q223" i="1"/>
  <c r="Q224" i="1"/>
  <c r="N223" i="1"/>
  <c r="N224" i="1"/>
  <c r="S223" i="1"/>
  <c r="S224" i="1"/>
  <c r="X223" i="1"/>
  <c r="X224" i="1"/>
  <c r="W223" i="1"/>
  <c r="W224" i="1"/>
  <c r="T223" i="1"/>
  <c r="T224" i="1"/>
  <c r="P188" i="1"/>
  <c r="P189" i="1"/>
  <c r="AA223" i="1"/>
  <c r="AA224" i="1"/>
  <c r="AB209" i="1"/>
  <c r="AB210" i="1"/>
  <c r="P209" i="1"/>
  <c r="P210" i="1"/>
  <c r="R188" i="1"/>
  <c r="R189" i="1"/>
  <c r="AC223" i="1"/>
  <c r="AC224" i="1"/>
  <c r="T209" i="1"/>
  <c r="T210" i="1"/>
  <c r="V188" i="1"/>
  <c r="V189" i="1"/>
  <c r="V210" i="1"/>
  <c r="R181" i="1"/>
  <c r="R182" i="1"/>
  <c r="V181" i="1"/>
  <c r="V182" i="1"/>
  <c r="AB181" i="1"/>
  <c r="AB182" i="1"/>
  <c r="T181" i="1"/>
  <c r="T182" i="1"/>
  <c r="P286" i="1"/>
  <c r="P287" i="1"/>
  <c r="O272" i="1"/>
  <c r="O273" i="1"/>
  <c r="R265" i="1"/>
  <c r="R266" i="1"/>
  <c r="M266" i="1"/>
  <c r="V230" i="1"/>
  <c r="V231" i="1"/>
  <c r="Y230" i="1"/>
  <c r="Y231" i="1"/>
  <c r="R230" i="1"/>
  <c r="R231" i="1"/>
  <c r="N230" i="1"/>
  <c r="N231" i="1"/>
  <c r="Q230" i="1"/>
  <c r="Q231" i="1"/>
  <c r="T230" i="1"/>
  <c r="T231" i="1"/>
  <c r="Q209" i="1"/>
  <c r="Q210" i="1"/>
  <c r="R209" i="1"/>
  <c r="R210" i="1"/>
  <c r="O216" i="1"/>
  <c r="O217" i="1"/>
  <c r="T216" i="1"/>
  <c r="T217" i="1"/>
  <c r="Q216" i="1"/>
  <c r="Q217" i="1"/>
  <c r="S216" i="1"/>
  <c r="S217" i="1"/>
  <c r="R216" i="1"/>
  <c r="R217" i="1"/>
  <c r="P216" i="1"/>
  <c r="P217" i="1"/>
  <c r="N266" i="1"/>
  <c r="N272" i="1"/>
  <c r="N273" i="1"/>
  <c r="AB216" i="1"/>
  <c r="AB217" i="1"/>
  <c r="P230" i="1"/>
  <c r="P231" i="1"/>
  <c r="AC216" i="1"/>
  <c r="AC217" i="1"/>
  <c r="U230" i="1"/>
  <c r="U231" i="1"/>
  <c r="AD216" i="1"/>
  <c r="AD217" i="1"/>
  <c r="S230" i="1"/>
  <c r="S231" i="1"/>
  <c r="V223" i="1"/>
  <c r="V224" i="1"/>
  <c r="O209" i="1"/>
  <c r="O210" i="1"/>
  <c r="S188" i="1"/>
  <c r="S189" i="1"/>
  <c r="O279" i="1"/>
  <c r="O280" i="1"/>
  <c r="Z181" i="1"/>
  <c r="Z182" i="1"/>
  <c r="O223" i="1"/>
  <c r="O224" i="1"/>
  <c r="S209" i="1"/>
  <c r="S210" i="1"/>
  <c r="M209" i="1"/>
  <c r="M210" i="1"/>
  <c r="U188" i="1"/>
  <c r="U189" i="1"/>
  <c r="P244" i="1"/>
  <c r="P245" i="1"/>
  <c r="N251" i="1"/>
  <c r="N252" i="1"/>
  <c r="T251" i="1"/>
  <c r="T252" i="1"/>
  <c r="U251" i="1"/>
  <c r="U252" i="1"/>
  <c r="O251" i="1"/>
  <c r="O252" i="1"/>
  <c r="R251" i="1"/>
  <c r="R252" i="1"/>
  <c r="N279" i="1"/>
  <c r="N280" i="1"/>
  <c r="Z216" i="1"/>
  <c r="Z217" i="1"/>
  <c r="Y188" i="1"/>
  <c r="Y189" i="1"/>
  <c r="L189" i="1"/>
  <c r="I189" i="1"/>
  <c r="Z210" i="1"/>
  <c r="L209" i="1"/>
  <c r="L210" i="1"/>
  <c r="I210" i="1"/>
  <c r="Q251" i="1"/>
  <c r="Q252" i="1"/>
  <c r="L251" i="1"/>
  <c r="L252" i="1"/>
  <c r="I252" i="1"/>
  <c r="Z223" i="1"/>
  <c r="Z224" i="1"/>
  <c r="L223" i="1"/>
  <c r="L224" i="1"/>
  <c r="I224" i="1"/>
  <c r="L279" i="1"/>
  <c r="L280" i="1"/>
  <c r="I280" i="1"/>
  <c r="L202" i="1"/>
  <c r="L203" i="1"/>
  <c r="I203" i="1"/>
  <c r="I202" i="1"/>
  <c r="S237" i="1"/>
  <c r="S238" i="1"/>
  <c r="W237" i="1"/>
  <c r="W238" i="1"/>
  <c r="W230" i="1"/>
  <c r="W231" i="1"/>
  <c r="L230" i="1"/>
  <c r="L231" i="1"/>
  <c r="I231" i="1"/>
  <c r="U195" i="1"/>
  <c r="U196" i="1"/>
  <c r="Y195" i="1"/>
  <c r="Y196" i="1"/>
  <c r="M244" i="1"/>
  <c r="M245" i="1"/>
  <c r="Q244" i="1"/>
  <c r="Q245" i="1"/>
  <c r="I279" i="1"/>
  <c r="I258" i="1"/>
  <c r="O265" i="1"/>
  <c r="O266" i="1"/>
  <c r="Q265" i="1"/>
  <c r="Q266" i="1"/>
  <c r="P272" i="1"/>
  <c r="P273" i="1"/>
  <c r="R272" i="1"/>
  <c r="R273" i="1"/>
  <c r="U181" i="1"/>
  <c r="U182" i="1"/>
  <c r="Y181" i="1"/>
  <c r="Y182" i="1"/>
  <c r="M286" i="1"/>
  <c r="M287" i="1"/>
  <c r="I251" i="1"/>
  <c r="I209" i="1"/>
  <c r="L181" i="1"/>
  <c r="I181" i="1"/>
  <c r="L182" i="1"/>
  <c r="I182" i="1"/>
  <c r="I223" i="1"/>
  <c r="I188" i="1"/>
  <c r="L244" i="1"/>
  <c r="I244" i="1"/>
  <c r="L195" i="1"/>
  <c r="L196" i="1"/>
  <c r="I196" i="1"/>
  <c r="I265" i="1"/>
  <c r="L266" i="1"/>
  <c r="I266" i="1"/>
  <c r="I195" i="1"/>
  <c r="L237" i="1"/>
  <c r="L238" i="1"/>
  <c r="I238" i="1"/>
  <c r="I230" i="1"/>
  <c r="L245" i="1"/>
  <c r="I245" i="1"/>
  <c r="I237" i="1"/>
  <c r="I272" i="1"/>
  <c r="L286" i="1"/>
  <c r="I286" i="1"/>
  <c r="L287" i="1"/>
  <c r="I287" i="1"/>
  <c r="M273" i="1"/>
  <c r="I273" i="1"/>
  <c r="Y216" i="1"/>
  <c r="Y217" i="1"/>
  <c r="L216" i="1"/>
  <c r="L217" i="1"/>
  <c r="I217" i="1"/>
  <c r="L175" i="1"/>
  <c r="I175" i="1"/>
  <c r="R169" i="1"/>
  <c r="AF112" i="1"/>
  <c r="R108" i="1"/>
  <c r="B32" i="1"/>
  <c r="H60" i="2"/>
  <c r="H10" i="2"/>
  <c r="I216" i="1"/>
  <c r="I174" i="1"/>
  <c r="I169" i="1"/>
  <c r="D42" i="1"/>
  <c r="A31" i="1"/>
</calcChain>
</file>

<file path=xl/sharedStrings.xml><?xml version="1.0" encoding="utf-8"?>
<sst xmlns="http://schemas.openxmlformats.org/spreadsheetml/2006/main" count="399" uniqueCount="248">
  <si>
    <t>unité de saturation</t>
  </si>
  <si>
    <t>C* / L*</t>
  </si>
  <si>
    <t>pi/180</t>
  </si>
  <si>
    <t xml:space="preserve">   </t>
  </si>
  <si>
    <t xml:space="preserve">  /  </t>
  </si>
  <si>
    <t>profond</t>
  </si>
  <si>
    <t>foncé</t>
  </si>
  <si>
    <t>sombre</t>
  </si>
  <si>
    <t>intense</t>
  </si>
  <si>
    <t>moyen</t>
  </si>
  <si>
    <t>grisé</t>
  </si>
  <si>
    <t>vif</t>
  </si>
  <si>
    <t>clair</t>
  </si>
  <si>
    <t>pâle</t>
  </si>
  <si>
    <t>très clair</t>
  </si>
  <si>
    <t>moyen clair</t>
  </si>
  <si>
    <t>moyen foncé</t>
  </si>
  <si>
    <t>très foncé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</si>
  <si>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</si>
  <si>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</si>
  <si>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</si>
  <si>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</si>
  <si>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</si>
  <si>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 xml:space="preserve">Première valeur  </t>
  </si>
  <si>
    <t xml:space="preserve">Seconde valeur  </t>
  </si>
  <si>
    <t xml:space="preserve">Troisième valeur  </t>
  </si>
  <si>
    <t>IVOIRE verdâtre</t>
  </si>
  <si>
    <t>IVOIRE</t>
  </si>
  <si>
    <t>ROSE</t>
  </si>
  <si>
    <t>ROSE-POURPRE</t>
  </si>
  <si>
    <t>BEIGE verdâtre clair</t>
  </si>
  <si>
    <t>BEIGE-VERT clair</t>
  </si>
  <si>
    <t>BEIGE verdâtre grisé</t>
  </si>
  <si>
    <t>BEIGE verdâtre moyen</t>
  </si>
  <si>
    <t>BEIGE-VERT intense</t>
  </si>
  <si>
    <t>VERT-JAUNE grisé</t>
  </si>
  <si>
    <t>VERT-JAUNE moyen</t>
  </si>
  <si>
    <t>KAKI verdâtre clair</t>
  </si>
  <si>
    <t>KAKI-VERT clair</t>
  </si>
  <si>
    <t>KAKI verdâtre grisé</t>
  </si>
  <si>
    <t>KAKI verdâtre moyen</t>
  </si>
  <si>
    <t>KAKI verdâtre intense</t>
  </si>
  <si>
    <t>KAKI verdâtre sombre</t>
  </si>
  <si>
    <t>KAKI verdâtre foncé</t>
  </si>
  <si>
    <t>KAKI-VERT profond</t>
  </si>
  <si>
    <t>BEIGE-JAUNE clair</t>
  </si>
  <si>
    <t>BEIGE verdâtre intense</t>
  </si>
  <si>
    <t>BEIGE verdâtre foncé</t>
  </si>
  <si>
    <t>BEIGE-JAUNE foncé</t>
  </si>
  <si>
    <t>BEIGE-KAKI</t>
  </si>
  <si>
    <t>KAKI clair</t>
  </si>
  <si>
    <t>KAKI grisé</t>
  </si>
  <si>
    <t>KAKI moyen</t>
  </si>
  <si>
    <t>KAKI intense</t>
  </si>
  <si>
    <t>KAKI sombre</t>
  </si>
  <si>
    <t>KAKI foncé</t>
  </si>
  <si>
    <t>KAKI profond</t>
  </si>
  <si>
    <t>BEIGE clair</t>
  </si>
  <si>
    <t>BEIGE grisé</t>
  </si>
  <si>
    <t>BEIGE moyen</t>
  </si>
  <si>
    <t>BEIGE intense</t>
  </si>
  <si>
    <t>BEIGE verdâtre sombre</t>
  </si>
  <si>
    <t>BEIGE sombre</t>
  </si>
  <si>
    <t>KAKI-BRUN clair</t>
  </si>
  <si>
    <t>KAKI-JAUNE</t>
  </si>
  <si>
    <t>KAKI-BRUN grisé</t>
  </si>
  <si>
    <t>KAKI-BRUN moyen</t>
  </si>
  <si>
    <t>KAKI-BRUN sombre</t>
  </si>
  <si>
    <t>KAKI-BRUN intense</t>
  </si>
  <si>
    <t>KAKI-BRUN foncé</t>
  </si>
  <si>
    <t>KAKI-BRUN profond</t>
  </si>
  <si>
    <t>BEIGE foncé</t>
  </si>
  <si>
    <t>BEIGE-BRUN</t>
  </si>
  <si>
    <t>BRUN-KAKI clair</t>
  </si>
  <si>
    <t>BRUN-JAUNE</t>
  </si>
  <si>
    <t>BRUN-KAKI grisé</t>
  </si>
  <si>
    <t>BRUN-KAKI moyen</t>
  </si>
  <si>
    <t>BRUN-KAKI intense</t>
  </si>
  <si>
    <t>BRUN-KAKI sombre</t>
  </si>
  <si>
    <t>BRUN-KAKI foncé</t>
  </si>
  <si>
    <t>BRUN-KAKI profond</t>
  </si>
  <si>
    <t>BRUN verdâtre clair</t>
  </si>
  <si>
    <t>BRUN verdâtre grisé</t>
  </si>
  <si>
    <t>BRUN verdâtre moyen</t>
  </si>
  <si>
    <t>BRUN verdâtre intense</t>
  </si>
  <si>
    <t>BRUN verdâtre sombre</t>
  </si>
  <si>
    <t>BRUN verdâtre foncé</t>
  </si>
  <si>
    <t>BRUN verdâtre profond</t>
  </si>
  <si>
    <t>BEIGE-ROSE clair</t>
  </si>
  <si>
    <t>BEIGE-ORANGE clair</t>
  </si>
  <si>
    <t>BEIGE-ROSE grisé</t>
  </si>
  <si>
    <t>BEIGE-ROSE moyen</t>
  </si>
  <si>
    <t>BEIGE-ORANGE intense</t>
  </si>
  <si>
    <t>BEIGE-ROSE sombre</t>
  </si>
  <si>
    <t>BEIGE-ROSE foncé</t>
  </si>
  <si>
    <t>BEIGE-ORANGE foncé</t>
  </si>
  <si>
    <t>BRUN clair</t>
  </si>
  <si>
    <t>BRUN grisé</t>
  </si>
  <si>
    <t>BRUN moyen</t>
  </si>
  <si>
    <t>BRUN intense</t>
  </si>
  <si>
    <t>BRUN sombre</t>
  </si>
  <si>
    <t>BRUN foncé</t>
  </si>
  <si>
    <t>BRUN profond</t>
  </si>
  <si>
    <t>BRUN-ORANGE vif</t>
  </si>
  <si>
    <t>BRUN-MARRON clair</t>
  </si>
  <si>
    <t>BRUN-MARRON grisé</t>
  </si>
  <si>
    <t>BRUN-MARRON moyen</t>
  </si>
  <si>
    <t>BRUN-MARRON intense</t>
  </si>
  <si>
    <t>BRUN-MARRON sombre</t>
  </si>
  <si>
    <t>BRUN-MARRON foncé</t>
  </si>
  <si>
    <t>BRUN-MARRON profond</t>
  </si>
  <si>
    <t>MARRON-ROSE</t>
  </si>
  <si>
    <t>MARRON-BRUN clair</t>
  </si>
  <si>
    <t>MARRON-BRUN grisé</t>
  </si>
  <si>
    <t>MARRON-BRUN moyen</t>
  </si>
  <si>
    <t>MARRON-BRUN intense</t>
  </si>
  <si>
    <t>MARRON-BRUN sombre</t>
  </si>
  <si>
    <t>MARRON-BRUN foncé</t>
  </si>
  <si>
    <t>MARRON-BRUN profond</t>
  </si>
  <si>
    <t>MARRON clair</t>
  </si>
  <si>
    <t>MARRON grisé</t>
  </si>
  <si>
    <t>MARRON moyen</t>
  </si>
  <si>
    <t>MARRON intense</t>
  </si>
  <si>
    <t>MARRON sombre</t>
  </si>
  <si>
    <t>MARRON foncé</t>
  </si>
  <si>
    <t>MARRON profond</t>
  </si>
  <si>
    <t>BORDEAUX clair</t>
  </si>
  <si>
    <t>BORDEAUX grisé</t>
  </si>
  <si>
    <t>BORDEAUX moyen</t>
  </si>
  <si>
    <t>BORDEAUX sombre</t>
  </si>
  <si>
    <t>BORDEAUX foncé</t>
  </si>
  <si>
    <t>BORDEAUX-ROUGE profond</t>
  </si>
  <si>
    <t>BORDEAUX-ROUGE intense</t>
  </si>
  <si>
    <t>BORDEAUX-POURPRE intense</t>
  </si>
  <si>
    <t>BORDEAUX-POURPRE profond</t>
  </si>
  <si>
    <t>BORDEAUX-POURPRE clair</t>
  </si>
  <si>
    <t>BORDEAUX-POURPRE grisé</t>
  </si>
  <si>
    <t>BORDEAUX-POURPRE moyen</t>
  </si>
  <si>
    <t>BORDEAUX-POURPRE sombre</t>
  </si>
  <si>
    <t>BORDEAUX-POURPRE foncé</t>
  </si>
  <si>
    <t>CRÈME-IVOIRE</t>
  </si>
  <si>
    <t>IVOIRE-CRÈME</t>
  </si>
  <si>
    <t>CRÈME</t>
  </si>
  <si>
    <t>CRÈME-ROSE</t>
  </si>
  <si>
    <t>ROSE-ORANGÉ</t>
  </si>
  <si>
    <t>BRUN-ORANGÉ profond</t>
  </si>
  <si>
    <t>BRUN-ORANGÉ foncé</t>
  </si>
  <si>
    <t>BRUN-ORANGÉ sombre</t>
  </si>
  <si>
    <t>BRUN-ORANGÉ intense</t>
  </si>
  <si>
    <t>BRUN-ORANGÉ moyen</t>
  </si>
  <si>
    <t>BRUN-ORANGÉ grisé</t>
  </si>
  <si>
    <t>BRUN-ORANGÉ vif</t>
  </si>
  <si>
    <t>BRUN-ORANGÉ clair</t>
  </si>
  <si>
    <t>BEIGE-ORANGÉ foncé</t>
  </si>
  <si>
    <t>BEIGE-ORANGÉ intense</t>
  </si>
  <si>
    <t>MARRON-ORANGÉ</t>
  </si>
  <si>
    <t>ORANGÉ-ROSE moyen</t>
  </si>
  <si>
    <t>ORANGÉ-ROSE clair</t>
  </si>
  <si>
    <t>BORDEAUX-ORANGÉ profond</t>
  </si>
  <si>
    <t>BORDEAUX-ORANGÉ intense</t>
  </si>
  <si>
    <t xml:space="preserve">6 - </t>
  </si>
  <si>
    <t>violet-bleu</t>
  </si>
  <si>
    <t>bleu-violet</t>
  </si>
  <si>
    <t>bleu</t>
  </si>
  <si>
    <t>bleu-vert</t>
  </si>
  <si>
    <t>vert-bleu</t>
  </si>
  <si>
    <t>vert</t>
  </si>
  <si>
    <t>vert-jaune</t>
  </si>
  <si>
    <t>jaune-vert</t>
  </si>
  <si>
    <t>jaune</t>
  </si>
  <si>
    <t>jaune-orangé</t>
  </si>
  <si>
    <t>orangé jaune</t>
  </si>
  <si>
    <t>orangé</t>
  </si>
  <si>
    <t>orangé-rouge</t>
  </si>
  <si>
    <t>rouge-orangé</t>
  </si>
  <si>
    <t>rouge</t>
  </si>
  <si>
    <t>rouge-pourpre</t>
  </si>
  <si>
    <t>pourpre-rouge</t>
  </si>
  <si>
    <t>pourpre</t>
  </si>
  <si>
    <t>pourpre-violet</t>
  </si>
  <si>
    <t>violet-pourpre</t>
  </si>
  <si>
    <t>violet</t>
  </si>
  <si>
    <t>ROSE-JAUNE vif</t>
  </si>
  <si>
    <t>ROSE-ORANGÉ vif</t>
  </si>
  <si>
    <t xml:space="preserve">                MODE  OPERATOIRE</t>
  </si>
  <si>
    <t xml:space="preserve"> Détermination  du  nom  d'une  couleur</t>
  </si>
  <si>
    <t xml:space="preserve">Pour déterminer le nom d'une couleur mesurée, </t>
  </si>
  <si>
    <t>Le résultat de la détermination apparaît ci-contre</t>
  </si>
  <si>
    <t xml:space="preserve">     celle-ci doit avoir été évaluée</t>
  </si>
  <si>
    <t xml:space="preserve">     pour l'observateur CIE 1931 2° avec l'illuminant D65</t>
  </si>
  <si>
    <t>Code des données</t>
  </si>
  <si>
    <t>Minuscules ou majuscules sans importance, mais pas d'espaces</t>
  </si>
  <si>
    <t xml:space="preserve">                  les équivalences numériques</t>
  </si>
  <si>
    <t>L*</t>
  </si>
  <si>
    <t xml:space="preserve">  </t>
  </si>
  <si>
    <t xml:space="preserve">                  les représentations graphiques</t>
  </si>
  <si>
    <t>ROUGE-BORDEAUX</t>
  </si>
  <si>
    <t>complété par quelques précisions supplémentaires</t>
  </si>
  <si>
    <r>
      <rPr>
        <sz val="12"/>
        <color rgb="FFC00000"/>
        <rFont val="Calibri"/>
        <family val="2"/>
        <scheme val="minor"/>
      </rPr>
      <t xml:space="preserve">avec        </t>
    </r>
    <r>
      <rPr>
        <b/>
        <sz val="12"/>
        <color rgb="FFC00000"/>
        <rFont val="Calibri"/>
        <family val="2"/>
        <scheme val="minor"/>
      </rPr>
      <t xml:space="preserve"> le nom de couleur </t>
    </r>
  </si>
  <si>
    <t>par  son  évaluation colorimétrique</t>
  </si>
  <si>
    <t>x</t>
  </si>
  <si>
    <t>X</t>
  </si>
  <si>
    <t>Y</t>
  </si>
  <si>
    <t>Z</t>
  </si>
  <si>
    <t>y</t>
  </si>
  <si>
    <t>a*</t>
  </si>
  <si>
    <t>b*</t>
  </si>
  <si>
    <t>u*</t>
  </si>
  <si>
    <t>v*</t>
  </si>
  <si>
    <t>Cab*</t>
  </si>
  <si>
    <t>Cuv*</t>
  </si>
  <si>
    <t>hab</t>
  </si>
  <si>
    <t>huv</t>
  </si>
  <si>
    <t>Equivalences numériques               CIE 2°  illuminant  D65</t>
  </si>
  <si>
    <r>
      <t xml:space="preserve">   </t>
    </r>
    <r>
      <rPr>
        <i/>
        <sz val="12"/>
        <color rgb="FFC00000"/>
        <rFont val="Calibri"/>
        <family val="2"/>
        <scheme val="minor"/>
      </rPr>
      <t>X Y Z     Y x y     L* a* b*    L* C*</t>
    </r>
    <r>
      <rPr>
        <sz val="9"/>
        <color rgb="FFC00000"/>
        <rFont val="Calibri"/>
        <family val="2"/>
        <scheme val="minor"/>
      </rPr>
      <t>ab</t>
    </r>
    <r>
      <rPr>
        <sz val="12"/>
        <color rgb="FFC00000"/>
        <rFont val="Calibri"/>
        <family val="2"/>
        <scheme val="minor"/>
      </rPr>
      <t xml:space="preserve">  </t>
    </r>
    <r>
      <rPr>
        <i/>
        <sz val="12"/>
        <color rgb="FFC00000"/>
        <rFont val="Calibri"/>
        <family val="2"/>
        <scheme val="minor"/>
      </rPr>
      <t>h</t>
    </r>
    <r>
      <rPr>
        <sz val="9"/>
        <color rgb="FFC00000"/>
        <rFont val="Calibri"/>
        <family val="2"/>
        <scheme val="minor"/>
      </rPr>
      <t>ab</t>
    </r>
    <r>
      <rPr>
        <sz val="12"/>
        <color rgb="FFC00000"/>
        <rFont val="Calibri"/>
        <family val="2"/>
        <scheme val="minor"/>
      </rPr>
      <t xml:space="preserve">    </t>
    </r>
    <r>
      <rPr>
        <i/>
        <sz val="12"/>
        <color rgb="FFC00000"/>
        <rFont val="Calibri"/>
        <family val="2"/>
        <scheme val="minor"/>
      </rPr>
      <t xml:space="preserve"> L* u* v*     L* C*</t>
    </r>
    <r>
      <rPr>
        <sz val="9"/>
        <color rgb="FFC00000"/>
        <rFont val="Calibri"/>
        <family val="2"/>
        <scheme val="minor"/>
      </rPr>
      <t>uv</t>
    </r>
    <r>
      <rPr>
        <sz val="12"/>
        <color rgb="FFC00000"/>
        <rFont val="Calibri"/>
        <family val="2"/>
        <scheme val="minor"/>
      </rPr>
      <t xml:space="preserve">  </t>
    </r>
    <r>
      <rPr>
        <i/>
        <sz val="12"/>
        <color rgb="FFC00000"/>
        <rFont val="Calibri"/>
        <family val="2"/>
        <scheme val="minor"/>
      </rPr>
      <t>h</t>
    </r>
    <r>
      <rPr>
        <sz val="9"/>
        <color rgb="FFC00000"/>
        <rFont val="Calibri"/>
        <family val="2"/>
        <scheme val="minor"/>
      </rPr>
      <t>uv</t>
    </r>
    <r>
      <rPr>
        <sz val="10"/>
        <color rgb="FFC00000"/>
        <rFont val="Calibri"/>
        <family val="2"/>
        <scheme val="minor"/>
      </rPr>
      <t xml:space="preserve">     </t>
    </r>
    <r>
      <rPr>
        <i/>
        <sz val="12"/>
        <color rgb="FFC00000"/>
        <rFont val="Calibri"/>
        <family val="2"/>
        <scheme val="minor"/>
      </rPr>
      <t>L* S</t>
    </r>
    <r>
      <rPr>
        <i/>
        <sz val="10"/>
        <color rgb="FFC00000"/>
        <rFont val="Calibri"/>
        <family val="2"/>
        <scheme val="minor"/>
      </rPr>
      <t xml:space="preserve"> </t>
    </r>
    <r>
      <rPr>
        <i/>
        <sz val="12"/>
        <color rgb="FFC00000"/>
        <rFont val="Calibri"/>
        <family val="2"/>
        <scheme val="minor"/>
      </rPr>
      <t>h</t>
    </r>
    <r>
      <rPr>
        <sz val="9"/>
        <color rgb="FFC00000"/>
        <rFont val="Calibri"/>
        <family val="2"/>
        <scheme val="minor"/>
      </rPr>
      <t>uv</t>
    </r>
  </si>
  <si>
    <r>
      <t xml:space="preserve">  </t>
    </r>
    <r>
      <rPr>
        <b/>
        <sz val="12"/>
        <color rgb="FFC00000"/>
        <rFont val="Calibri"/>
        <family val="2"/>
        <scheme val="minor"/>
      </rPr>
      <t>XYZ</t>
    </r>
    <r>
      <rPr>
        <sz val="12"/>
        <color rgb="FFC00000"/>
        <rFont val="Calibri"/>
        <family val="2"/>
        <scheme val="minor"/>
      </rPr>
      <t xml:space="preserve">    </t>
    </r>
    <r>
      <rPr>
        <i/>
        <sz val="12"/>
        <color rgb="FFC00000"/>
        <rFont val="Calibri"/>
        <family val="2"/>
        <scheme val="minor"/>
      </rPr>
      <t>ou</t>
    </r>
    <r>
      <rPr>
        <sz val="12"/>
        <color rgb="FFC00000"/>
        <rFont val="Calibri"/>
        <family val="2"/>
        <scheme val="minor"/>
      </rPr>
      <t xml:space="preserve">   </t>
    </r>
    <r>
      <rPr>
        <b/>
        <sz val="12"/>
        <color rgb="FFC00000"/>
        <rFont val="Calibri"/>
        <family val="2"/>
        <scheme val="minor"/>
      </rPr>
      <t>Yxy</t>
    </r>
    <r>
      <rPr>
        <sz val="12"/>
        <color rgb="FFC00000"/>
        <rFont val="Calibri"/>
        <family val="2"/>
        <scheme val="minor"/>
      </rPr>
      <t xml:space="preserve">    </t>
    </r>
    <r>
      <rPr>
        <i/>
        <sz val="12"/>
        <color rgb="FFC00000"/>
        <rFont val="Calibri"/>
        <family val="2"/>
        <scheme val="minor"/>
      </rPr>
      <t>ou</t>
    </r>
    <r>
      <rPr>
        <sz val="12"/>
        <color rgb="FFC00000"/>
        <rFont val="Calibri"/>
        <family val="2"/>
        <scheme val="minor"/>
      </rPr>
      <t xml:space="preserve">    </t>
    </r>
    <r>
      <rPr>
        <b/>
        <sz val="12"/>
        <color rgb="FFC00000"/>
        <rFont val="Calibri"/>
        <family val="2"/>
        <scheme val="minor"/>
      </rPr>
      <t>Lab</t>
    </r>
    <r>
      <rPr>
        <sz val="12"/>
        <color rgb="FFC00000"/>
        <rFont val="Calibri"/>
        <family val="2"/>
        <scheme val="minor"/>
      </rPr>
      <t xml:space="preserve">   </t>
    </r>
    <r>
      <rPr>
        <i/>
        <sz val="12"/>
        <color rgb="FFC00000"/>
        <rFont val="Calibri"/>
        <family val="2"/>
        <scheme val="minor"/>
      </rPr>
      <t>ou</t>
    </r>
    <r>
      <rPr>
        <sz val="12"/>
        <color rgb="FFC00000"/>
        <rFont val="Calibri"/>
        <family val="2"/>
        <scheme val="minor"/>
      </rPr>
      <t xml:space="preserve">   </t>
    </r>
    <r>
      <rPr>
        <b/>
        <sz val="12"/>
        <color rgb="FFC00000"/>
        <rFont val="Calibri"/>
        <family val="2"/>
        <scheme val="minor"/>
      </rPr>
      <t xml:space="preserve"> LChab</t>
    </r>
    <r>
      <rPr>
        <sz val="12"/>
        <color rgb="FFC00000"/>
        <rFont val="Calibri"/>
        <family val="2"/>
        <scheme val="minor"/>
      </rPr>
      <t xml:space="preserve">    </t>
    </r>
    <r>
      <rPr>
        <i/>
        <sz val="12"/>
        <color rgb="FFC00000"/>
        <rFont val="Calibri"/>
        <family val="2"/>
        <scheme val="minor"/>
      </rPr>
      <t>ou</t>
    </r>
    <r>
      <rPr>
        <sz val="12"/>
        <color rgb="FFC00000"/>
        <rFont val="Calibri"/>
        <family val="2"/>
        <scheme val="minor"/>
      </rPr>
      <t xml:space="preserve">    </t>
    </r>
    <r>
      <rPr>
        <b/>
        <sz val="12"/>
        <color rgb="FFC00000"/>
        <rFont val="Calibri"/>
        <family val="2"/>
        <scheme val="minor"/>
      </rPr>
      <t>Luv</t>
    </r>
    <r>
      <rPr>
        <sz val="12"/>
        <color rgb="FFC00000"/>
        <rFont val="Calibri"/>
        <family val="2"/>
        <scheme val="minor"/>
      </rPr>
      <t xml:space="preserve">    </t>
    </r>
    <r>
      <rPr>
        <i/>
        <sz val="12"/>
        <color rgb="FFC00000"/>
        <rFont val="Calibri"/>
        <family val="2"/>
        <scheme val="minor"/>
      </rPr>
      <t>ou</t>
    </r>
    <r>
      <rPr>
        <sz val="12"/>
        <color rgb="FFC00000"/>
        <rFont val="Calibri"/>
        <family val="2"/>
        <scheme val="minor"/>
      </rPr>
      <t xml:space="preserve">    </t>
    </r>
    <r>
      <rPr>
        <b/>
        <sz val="12"/>
        <color rgb="FFC00000"/>
        <rFont val="Calibri"/>
        <family val="2"/>
        <scheme val="minor"/>
      </rPr>
      <t xml:space="preserve">LChuv    </t>
    </r>
    <r>
      <rPr>
        <i/>
        <sz val="12"/>
        <color rgb="FFC00000"/>
        <rFont val="Calibri"/>
        <family val="2"/>
        <scheme val="minor"/>
      </rPr>
      <t>ou</t>
    </r>
    <r>
      <rPr>
        <b/>
        <sz val="12"/>
        <color rgb="FFC00000"/>
        <rFont val="Calibri"/>
        <family val="2"/>
        <scheme val="minor"/>
      </rPr>
      <t xml:space="preserve">   LShuv</t>
    </r>
  </si>
  <si>
    <t>Entrer dans les cases appropriées E10 E11  E12</t>
  </si>
  <si>
    <r>
      <t xml:space="preserve">Effacer le contenu de la case : Code en  </t>
    </r>
    <r>
      <rPr>
        <b/>
        <sz val="12"/>
        <color rgb="FFC00000"/>
        <rFont val="Calibri"/>
        <family val="2"/>
        <scheme val="minor"/>
      </rPr>
      <t xml:space="preserve"> E14</t>
    </r>
  </si>
  <si>
    <r>
      <t xml:space="preserve">Entrer case    </t>
    </r>
    <r>
      <rPr>
        <b/>
        <sz val="12"/>
        <color rgb="FFC00000"/>
        <rFont val="Calibri"/>
        <family val="2"/>
        <scheme val="minor"/>
      </rPr>
      <t xml:space="preserve">E10  </t>
    </r>
    <r>
      <rPr>
        <sz val="12"/>
        <color rgb="FFC00000"/>
        <rFont val="Calibri"/>
        <family val="2"/>
        <scheme val="minor"/>
      </rPr>
      <t xml:space="preserve">  la première valeur évaluée</t>
    </r>
  </si>
  <si>
    <r>
      <t xml:space="preserve">Entrer case    </t>
    </r>
    <r>
      <rPr>
        <b/>
        <sz val="12"/>
        <color rgb="FFC00000"/>
        <rFont val="Calibri"/>
        <family val="2"/>
        <scheme val="minor"/>
      </rPr>
      <t>E11</t>
    </r>
    <r>
      <rPr>
        <sz val="12"/>
        <color rgb="FFC00000"/>
        <rFont val="Calibri"/>
        <family val="2"/>
        <scheme val="minor"/>
      </rPr>
      <t xml:space="preserve">    la deuxième valeur évaluée</t>
    </r>
  </si>
  <si>
    <r>
      <t xml:space="preserve">Entrer case    </t>
    </r>
    <r>
      <rPr>
        <b/>
        <sz val="12"/>
        <color rgb="FFC00000"/>
        <rFont val="Calibri"/>
        <family val="2"/>
        <scheme val="minor"/>
      </rPr>
      <t>E12</t>
    </r>
    <r>
      <rPr>
        <sz val="12"/>
        <color rgb="FFC00000"/>
        <rFont val="Calibri"/>
        <family val="2"/>
        <scheme val="minor"/>
      </rPr>
      <t xml:space="preserve">    la troisième valeur évaluée</t>
    </r>
  </si>
  <si>
    <t>3  valeurs numériques évaluées pour cette couleur :   7  possibilités</t>
  </si>
  <si>
    <t>tre24borzqlim</t>
  </si>
  <si>
    <r>
      <t xml:space="preserve">Entrer case    </t>
    </r>
    <r>
      <rPr>
        <b/>
        <sz val="12"/>
        <color rgb="FFC00000"/>
        <rFont val="Calibri"/>
        <family val="2"/>
        <scheme val="minor"/>
      </rPr>
      <t>E14</t>
    </r>
    <r>
      <rPr>
        <sz val="12"/>
        <color rgb="FFC00000"/>
        <rFont val="Calibri"/>
        <family val="2"/>
        <scheme val="minor"/>
      </rPr>
      <t xml:space="preserve">   le code approprié , soit :</t>
    </r>
  </si>
  <si>
    <r>
      <t>h</t>
    </r>
    <r>
      <rPr>
        <b/>
        <sz val="9"/>
        <color theme="1"/>
        <rFont val="Calibri"/>
        <family val="2"/>
        <scheme val="minor"/>
      </rPr>
      <t>ab</t>
    </r>
  </si>
  <si>
    <r>
      <t>h</t>
    </r>
    <r>
      <rPr>
        <b/>
        <sz val="9"/>
        <color theme="1"/>
        <rFont val="Calibri"/>
        <family val="2"/>
        <scheme val="minor"/>
      </rPr>
      <t>uv</t>
    </r>
  </si>
  <si>
    <r>
      <t>C</t>
    </r>
    <r>
      <rPr>
        <b/>
        <sz val="9"/>
        <color theme="1"/>
        <rFont val="Calibri"/>
        <family val="2"/>
        <scheme val="minor"/>
      </rPr>
      <t>ab</t>
    </r>
    <r>
      <rPr>
        <b/>
        <i/>
        <sz val="12"/>
        <color theme="1"/>
        <rFont val="Calibri"/>
        <family val="2"/>
        <scheme val="minor"/>
      </rPr>
      <t>*</t>
    </r>
  </si>
  <si>
    <r>
      <t>C</t>
    </r>
    <r>
      <rPr>
        <b/>
        <sz val="9"/>
        <color theme="1"/>
        <rFont val="Calibri"/>
        <family val="2"/>
        <scheme val="minor"/>
      </rPr>
      <t>uv</t>
    </r>
    <r>
      <rPr>
        <b/>
        <i/>
        <sz val="12"/>
        <color theme="1"/>
        <rFont val="Calibri"/>
        <family val="2"/>
        <scheme val="minor"/>
      </rPr>
      <t>*</t>
    </r>
  </si>
  <si>
    <t>CREME-BEIGE moyen</t>
  </si>
  <si>
    <t>ORANGÉ-ROUGE grisé</t>
  </si>
  <si>
    <r>
      <t xml:space="preserve">Clarté CIE   </t>
    </r>
    <r>
      <rPr>
        <i/>
        <sz val="10"/>
        <color theme="0"/>
        <rFont val="Calibri"/>
        <family val="2"/>
        <scheme val="minor"/>
      </rPr>
      <t>L*</t>
    </r>
  </si>
  <si>
    <r>
      <t xml:space="preserve">Angle de teinte </t>
    </r>
    <r>
      <rPr>
        <i/>
        <sz val="10"/>
        <color theme="0"/>
        <rFont val="Calibri"/>
        <family val="2"/>
        <scheme val="minor"/>
      </rPr>
      <t xml:space="preserve"> h</t>
    </r>
    <r>
      <rPr>
        <sz val="10"/>
        <color theme="0"/>
        <rFont val="Calibri"/>
        <family val="2"/>
        <scheme val="minor"/>
      </rPr>
      <t>uv</t>
    </r>
  </si>
  <si>
    <r>
      <t xml:space="preserve">Chroma   </t>
    </r>
    <r>
      <rPr>
        <i/>
        <sz val="10"/>
        <color theme="0"/>
        <rFont val="Calibri"/>
        <family val="2"/>
        <scheme val="minor"/>
      </rPr>
      <t>C*</t>
    </r>
    <r>
      <rPr>
        <sz val="10"/>
        <color theme="0"/>
        <rFont val="Calibri"/>
        <family val="2"/>
        <scheme val="minor"/>
      </rPr>
      <t>uv</t>
    </r>
  </si>
  <si>
    <r>
      <t xml:space="preserve">Indice de saturation </t>
    </r>
    <r>
      <rPr>
        <i/>
        <sz val="10"/>
        <color theme="0"/>
        <rFont val="Calibri"/>
        <family val="2"/>
        <scheme val="minor"/>
      </rPr>
      <t>S</t>
    </r>
  </si>
  <si>
    <r>
      <t xml:space="preserve">  Cet outil vient compléter le guide  </t>
    </r>
    <r>
      <rPr>
        <b/>
        <sz val="14"/>
        <color theme="1"/>
        <rFont val="Calibri"/>
        <family val="2"/>
        <scheme val="minor"/>
      </rPr>
      <t>Donner leur nom aux couleurs - Dénomination des couleurs évaluées par colorimétrie</t>
    </r>
  </si>
  <si>
    <t xml:space="preserve">  Il ne permet donc pas d'accéder à des informations complémentaires pour fixer des tolérances, obtenir des informations</t>
  </si>
  <si>
    <t xml:space="preserve">  ni pour d'autres recherches.</t>
  </si>
  <si>
    <r>
      <rPr>
        <b/>
        <sz val="14"/>
        <color theme="1"/>
        <rFont val="Calibri"/>
        <family val="2"/>
        <scheme val="minor"/>
      </rPr>
      <t xml:space="preserve">  </t>
    </r>
    <r>
      <rPr>
        <b/>
        <u/>
        <sz val="14"/>
        <color theme="1"/>
        <rFont val="Calibri"/>
        <family val="2"/>
        <scheme val="minor"/>
      </rPr>
      <t>Pour toutes ces raisons,  l'utilisation de cet ouvrage est donc non seulement utile,  mais recommandée.</t>
    </r>
  </si>
  <si>
    <t xml:space="preserve">  Le programme de donne pas d'indication sur les limites du domaine chromatique concerné et identifié lors d'une recherche.</t>
  </si>
  <si>
    <t xml:space="preserve">  supplémentaires sur les domaines chromatiques voisins de ceux identifiés ou relatifs aux couleurs de la même famile,</t>
  </si>
  <si>
    <t>Programme  Robert  Sève : février  2014   - N 170 220</t>
  </si>
  <si>
    <t xml:space="preserve">                                  Dénomination des couleurs</t>
  </si>
  <si>
    <t xml:space="preserve">                                  évaluées par colorimétrie</t>
  </si>
  <si>
    <t xml:space="preserve">                                  ISBN : 978-2-36233-169-5</t>
  </si>
  <si>
    <t xml:space="preserve">                                  Ouvrage disponible sur ;</t>
  </si>
  <si>
    <t xml:space="preserve">                                  LexitisEditions.fr</t>
  </si>
  <si>
    <t xml:space="preserve">                                  Robert  Sève</t>
  </si>
  <si>
    <t xml:space="preserve">                                  Donner leur nom aux couleurs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</si>
</sst>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"/>
    <numFmt numFmtId="167" formatCode="0.00000"/>
    <numFmt numFmtId="168" formatCode="0.000000"/>
    <numFmt numFmtId="169" formatCode="0.0000000"/>
    <numFmt numFmtId="170" formatCode="0.000000000"/>
  </numFmts>
  <fonts count="4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5" fillId="0" borderId="0" xfId="0" applyFont="1" applyBorder="1" applyProtection="1"/>
    <xf numFmtId="0" fontId="0" fillId="4" borderId="0" xfId="0" applyFill="1" applyBorder="1" applyProtection="1"/>
    <xf numFmtId="0" fontId="5" fillId="4" borderId="0" xfId="0" applyFont="1" applyFill="1" applyBorder="1" applyProtection="1"/>
    <xf numFmtId="0" fontId="3" fillId="0" borderId="0" xfId="0" applyFont="1" applyFill="1" applyBorder="1" applyAlignment="1" applyProtection="1">
      <alignment horizontal="right" vertical="center"/>
    </xf>
    <xf numFmtId="0" fontId="0" fillId="4" borderId="8" xfId="0" applyFill="1" applyBorder="1" applyProtection="1"/>
    <xf numFmtId="165" fontId="5" fillId="4" borderId="8" xfId="0" applyNumberFormat="1" applyFont="1" applyFill="1" applyBorder="1" applyAlignment="1" applyProtection="1">
      <alignment horizontal="right"/>
    </xf>
    <xf numFmtId="0" fontId="0" fillId="4" borderId="5" xfId="0" applyFill="1" applyBorder="1" applyProtection="1"/>
    <xf numFmtId="0" fontId="5" fillId="4" borderId="5" xfId="0" applyFont="1" applyFill="1" applyBorder="1" applyProtection="1"/>
    <xf numFmtId="0" fontId="5" fillId="4" borderId="9" xfId="0" applyFont="1" applyFill="1" applyBorder="1" applyProtection="1"/>
    <xf numFmtId="0" fontId="5" fillId="4" borderId="7" xfId="0" applyFont="1" applyFill="1" applyBorder="1" applyProtection="1"/>
    <xf numFmtId="164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1" fontId="27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165" fontId="33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 applyProtection="1"/>
    <xf numFmtId="168" fontId="32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" fontId="33" fillId="0" borderId="0" xfId="0" applyNumberFormat="1" applyFont="1" applyFill="1" applyBorder="1" applyAlignment="1" applyProtection="1">
      <alignment horizontal="center"/>
    </xf>
    <xf numFmtId="2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38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2" fontId="35" fillId="0" borderId="0" xfId="0" applyNumberFormat="1" applyFont="1" applyFill="1" applyBorder="1"/>
    <xf numFmtId="2" fontId="17" fillId="0" borderId="0" xfId="0" applyNumberFormat="1" applyFont="1" applyFill="1" applyBorder="1"/>
    <xf numFmtId="0" fontId="37" fillId="0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/>
    <xf numFmtId="165" fontId="17" fillId="0" borderId="0" xfId="0" applyNumberFormat="1" applyFont="1" applyFill="1" applyBorder="1"/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70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/>
    </xf>
    <xf numFmtId="0" fontId="39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/>
    <xf numFmtId="0" fontId="17" fillId="0" borderId="0" xfId="0" applyFont="1" applyFill="1" applyBorder="1" applyAlignment="1"/>
    <xf numFmtId="17" fontId="17" fillId="0" borderId="0" xfId="0" quotePrefix="1" applyNumberFormat="1" applyFont="1" applyFill="1" applyBorder="1"/>
    <xf numFmtId="0" fontId="17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 applyProtection="1">
      <alignment horizontal="center"/>
    </xf>
    <xf numFmtId="164" fontId="41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166" fontId="33" fillId="0" borderId="0" xfId="0" applyNumberFormat="1" applyFont="1" applyFill="1" applyBorder="1"/>
    <xf numFmtId="0" fontId="4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vertical="center"/>
    </xf>
    <xf numFmtId="165" fontId="32" fillId="0" borderId="0" xfId="0" applyNumberFormat="1" applyFont="1" applyFill="1" applyBorder="1"/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32" fillId="0" borderId="0" xfId="0" applyFont="1" applyFill="1" applyBorder="1" applyAlignment="1">
      <alignment vertical="center"/>
    </xf>
    <xf numFmtId="165" fontId="42" fillId="0" borderId="0" xfId="0" applyNumberFormat="1" applyFont="1" applyFill="1" applyBorder="1" applyAlignment="1">
      <alignment horizontal="right" vertical="center"/>
    </xf>
    <xf numFmtId="165" fontId="32" fillId="0" borderId="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/>
    <xf numFmtId="166" fontId="32" fillId="0" borderId="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>
      <alignment horizontal="right" vertical="center"/>
    </xf>
    <xf numFmtId="165" fontId="32" fillId="0" borderId="0" xfId="0" applyNumberFormat="1" applyFont="1" applyFill="1" applyBorder="1" applyAlignment="1">
      <alignment horizontal="right" vertical="center"/>
    </xf>
    <xf numFmtId="165" fontId="42" fillId="0" borderId="0" xfId="0" applyNumberFormat="1" applyFont="1" applyFill="1" applyBorder="1"/>
    <xf numFmtId="2" fontId="32" fillId="0" borderId="0" xfId="0" applyNumberFormat="1" applyFont="1" applyFill="1" applyBorder="1"/>
    <xf numFmtId="167" fontId="32" fillId="0" borderId="0" xfId="0" applyNumberFormat="1" applyFont="1" applyFill="1" applyBorder="1"/>
    <xf numFmtId="165" fontId="32" fillId="0" borderId="0" xfId="0" applyNumberFormat="1" applyFont="1" applyFill="1" applyBorder="1" applyAlignment="1">
      <alignment vertical="center"/>
    </xf>
    <xf numFmtId="1" fontId="32" fillId="0" borderId="0" xfId="0" applyNumberFormat="1" applyFont="1" applyFill="1" applyBorder="1" applyAlignment="1">
      <alignment vertical="center"/>
    </xf>
    <xf numFmtId="0" fontId="0" fillId="0" borderId="0" xfId="0" applyProtection="1"/>
    <xf numFmtId="0" fontId="12" fillId="4" borderId="1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22" fillId="0" borderId="0" xfId="0" applyFont="1" applyProtection="1"/>
    <xf numFmtId="0" fontId="12" fillId="4" borderId="13" xfId="0" applyFont="1" applyFill="1" applyBorder="1" applyAlignment="1" applyProtection="1">
      <alignment horizontal="center" vertical="center"/>
    </xf>
    <xf numFmtId="0" fontId="5" fillId="0" borderId="4" xfId="0" applyFont="1" applyBorder="1" applyProtection="1"/>
    <xf numFmtId="165" fontId="5" fillId="4" borderId="2" xfId="0" applyNumberFormat="1" applyFont="1" applyFill="1" applyBorder="1" applyAlignment="1" applyProtection="1">
      <alignment horizontal="left"/>
    </xf>
    <xf numFmtId="165" fontId="5" fillId="4" borderId="3" xfId="0" applyNumberFormat="1" applyFont="1" applyFill="1" applyBorder="1" applyAlignment="1" applyProtection="1">
      <alignment horizontal="left"/>
    </xf>
    <xf numFmtId="0" fontId="0" fillId="0" borderId="0" xfId="0" applyFill="1" applyProtection="1"/>
    <xf numFmtId="0" fontId="8" fillId="2" borderId="2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22" fillId="0" borderId="5" xfId="0" applyFont="1" applyBorder="1" applyProtection="1"/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165" fontId="5" fillId="4" borderId="4" xfId="0" applyNumberFormat="1" applyFont="1" applyFill="1" applyBorder="1" applyAlignment="1" applyProtection="1">
      <alignment horizontal="center"/>
    </xf>
    <xf numFmtId="165" fontId="5" fillId="2" borderId="6" xfId="0" applyNumberFormat="1" applyFont="1" applyFill="1" applyBorder="1" applyAlignment="1" applyProtection="1">
      <alignment horizontal="center"/>
    </xf>
    <xf numFmtId="165" fontId="5" fillId="2" borderId="9" xfId="0" applyNumberFormat="1" applyFont="1" applyFill="1" applyBorder="1" applyAlignment="1" applyProtection="1">
      <alignment horizontal="center"/>
    </xf>
    <xf numFmtId="167" fontId="5" fillId="2" borderId="9" xfId="0" applyNumberFormat="1" applyFont="1" applyFill="1" applyBorder="1" applyAlignment="1" applyProtection="1">
      <alignment horizontal="center"/>
    </xf>
    <xf numFmtId="167" fontId="5" fillId="2" borderId="7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65" fontId="5" fillId="4" borderId="4" xfId="0" applyNumberFormat="1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13" fillId="0" borderId="5" xfId="0" applyFont="1" applyBorder="1" applyProtection="1"/>
    <xf numFmtId="0" fontId="19" fillId="0" borderId="0" xfId="0" applyFont="1" applyFill="1" applyBorder="1" applyProtection="1"/>
    <xf numFmtId="165" fontId="5" fillId="2" borderId="7" xfId="0" applyNumberFormat="1" applyFont="1" applyFill="1" applyBorder="1" applyAlignment="1" applyProtection="1">
      <alignment horizontal="center"/>
    </xf>
    <xf numFmtId="165" fontId="22" fillId="0" borderId="0" xfId="0" applyNumberFormat="1" applyFont="1" applyProtection="1"/>
    <xf numFmtId="0" fontId="13" fillId="0" borderId="0" xfId="0" applyFont="1" applyProtection="1"/>
    <xf numFmtId="0" fontId="22" fillId="0" borderId="0" xfId="0" applyFont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center"/>
    </xf>
    <xf numFmtId="0" fontId="27" fillId="0" borderId="0" xfId="0" applyFont="1" applyBorder="1" applyProtection="1"/>
    <xf numFmtId="0" fontId="23" fillId="0" borderId="0" xfId="0" applyFont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center"/>
    </xf>
    <xf numFmtId="165" fontId="5" fillId="4" borderId="6" xfId="0" applyNumberFormat="1" applyFont="1" applyFill="1" applyBorder="1" applyAlignment="1" applyProtection="1">
      <alignment horizontal="left"/>
    </xf>
    <xf numFmtId="0" fontId="22" fillId="0" borderId="5" xfId="0" applyFont="1" applyBorder="1" applyAlignment="1" applyProtection="1">
      <alignment horizontal="center"/>
    </xf>
    <xf numFmtId="0" fontId="7" fillId="0" borderId="0" xfId="0" applyFont="1" applyProtection="1"/>
    <xf numFmtId="165" fontId="5" fillId="4" borderId="10" xfId="0" applyNumberFormat="1" applyFont="1" applyFill="1" applyBorder="1" applyAlignment="1" applyProtection="1">
      <alignment horizontal="left"/>
    </xf>
    <xf numFmtId="0" fontId="0" fillId="4" borderId="14" xfId="0" applyFill="1" applyBorder="1" applyProtection="1"/>
    <xf numFmtId="1" fontId="5" fillId="4" borderId="14" xfId="0" applyNumberFormat="1" applyFont="1" applyFill="1" applyBorder="1" applyAlignment="1" applyProtection="1">
      <alignment horizontal="left"/>
    </xf>
    <xf numFmtId="165" fontId="5" fillId="4" borderId="14" xfId="0" quotePrefix="1" applyNumberFormat="1" applyFont="1" applyFill="1" applyBorder="1" applyAlignment="1" applyProtection="1">
      <alignment horizontal="right"/>
    </xf>
    <xf numFmtId="165" fontId="5" fillId="4" borderId="11" xfId="0" quotePrefix="1" applyNumberFormat="1" applyFont="1" applyFill="1" applyBorder="1" applyAlignment="1" applyProtection="1">
      <alignment horizontal="left"/>
    </xf>
    <xf numFmtId="0" fontId="0" fillId="0" borderId="0" xfId="0" quotePrefix="1" applyAlignment="1" applyProtection="1">
      <alignment horizontal="left"/>
    </xf>
    <xf numFmtId="0" fontId="0" fillId="0" borderId="4" xfId="0" applyBorder="1" applyProtection="1"/>
    <xf numFmtId="1" fontId="22" fillId="0" borderId="0" xfId="0" applyNumberFormat="1" applyFont="1" applyProtection="1"/>
    <xf numFmtId="0" fontId="10" fillId="0" borderId="0" xfId="0" applyFont="1" applyProtection="1"/>
    <xf numFmtId="0" fontId="11" fillId="0" borderId="5" xfId="0" applyFont="1" applyBorder="1" applyAlignment="1" applyProtection="1">
      <alignment horizontal="left"/>
    </xf>
    <xf numFmtId="0" fontId="13" fillId="0" borderId="0" xfId="0" quotePrefix="1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center"/>
    </xf>
    <xf numFmtId="169" fontId="0" fillId="0" borderId="0" xfId="0" applyNumberFormat="1" applyProtection="1"/>
    <xf numFmtId="168" fontId="0" fillId="0" borderId="0" xfId="0" applyNumberFormat="1" applyBorder="1" applyProtection="1"/>
    <xf numFmtId="0" fontId="4" fillId="0" borderId="0" xfId="0" applyFont="1" applyProtection="1"/>
    <xf numFmtId="0" fontId="21" fillId="0" borderId="0" xfId="0" applyFont="1" applyBorder="1" applyProtection="1"/>
    <xf numFmtId="0" fontId="18" fillId="0" borderId="5" xfId="0" applyFont="1" applyBorder="1" applyAlignment="1" applyProtection="1">
      <alignment horizontal="center"/>
    </xf>
    <xf numFmtId="0" fontId="14" fillId="0" borderId="5" xfId="0" applyFont="1" applyFill="1" applyBorder="1" applyProtection="1"/>
    <xf numFmtId="0" fontId="0" fillId="0" borderId="6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20" fillId="0" borderId="0" xfId="0" applyFont="1" applyProtection="1"/>
    <xf numFmtId="0" fontId="22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right"/>
    </xf>
    <xf numFmtId="2" fontId="33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center"/>
    </xf>
    <xf numFmtId="0" fontId="32" fillId="0" borderId="0" xfId="0" quotePrefix="1" applyFont="1" applyFill="1" applyBorder="1" applyAlignment="1" applyProtection="1">
      <alignment horizontal="center"/>
    </xf>
    <xf numFmtId="168" fontId="32" fillId="0" borderId="0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 applyProtection="1">
      <alignment horizontal="center"/>
    </xf>
    <xf numFmtId="167" fontId="33" fillId="0" borderId="0" xfId="0" applyNumberFormat="1" applyFont="1" applyFill="1" applyBorder="1" applyAlignment="1" applyProtection="1">
      <alignment horizontal="center"/>
    </xf>
    <xf numFmtId="167" fontId="32" fillId="0" borderId="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right" vertical="center"/>
    </xf>
    <xf numFmtId="2" fontId="32" fillId="0" borderId="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 applyProtection="1">
      <alignment horizontal="left"/>
    </xf>
    <xf numFmtId="1" fontId="32" fillId="0" borderId="0" xfId="0" applyNumberFormat="1" applyFont="1" applyFill="1" applyBorder="1" applyProtection="1"/>
    <xf numFmtId="2" fontId="32" fillId="0" borderId="0" xfId="0" applyNumberFormat="1" applyFont="1" applyFill="1" applyBorder="1" applyAlignment="1" applyProtection="1">
      <alignment horizontal="left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65" fontId="5" fillId="4" borderId="14" xfId="0" quotePrefix="1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20" fillId="0" borderId="0" xfId="0" applyFont="1" applyBorder="1" applyProtection="1"/>
    <xf numFmtId="0" fontId="43" fillId="0" borderId="0" xfId="0" applyFont="1" applyBorder="1" applyProtection="1"/>
    <xf numFmtId="0" fontId="0" fillId="0" borderId="0" xfId="0" quotePrefix="1" applyBorder="1" applyProtection="1"/>
    <xf numFmtId="0" fontId="0" fillId="0" borderId="0" xfId="0" applyBorder="1" applyAlignment="1" applyProtection="1">
      <alignment horizontal="left"/>
    </xf>
    <xf numFmtId="0" fontId="0" fillId="0" borderId="0" xfId="0" quotePrefix="1" applyBorder="1" applyAlignment="1" applyProtection="1">
      <alignment horizontal="right"/>
    </xf>
    <xf numFmtId="0" fontId="0" fillId="0" borderId="0" xfId="0" applyFill="1" applyBorder="1" applyProtection="1"/>
    <xf numFmtId="165" fontId="0" fillId="0" borderId="0" xfId="0" applyNumberFormat="1" applyProtection="1"/>
    <xf numFmtId="164" fontId="4" fillId="0" borderId="0" xfId="0" applyNumberFormat="1" applyFont="1" applyProtection="1"/>
    <xf numFmtId="169" fontId="22" fillId="0" borderId="0" xfId="0" applyNumberFormat="1" applyFont="1" applyFill="1" applyBorder="1" applyProtection="1"/>
    <xf numFmtId="0" fontId="6" fillId="0" borderId="0" xfId="0" applyFont="1" applyProtection="1"/>
    <xf numFmtId="0" fontId="0" fillId="0" borderId="0" xfId="0" quotePrefix="1" applyAlignment="1" applyProtection="1">
      <alignment horizontal="center"/>
    </xf>
    <xf numFmtId="0" fontId="20" fillId="0" borderId="0" xfId="0" applyFont="1" applyFill="1" applyProtection="1"/>
    <xf numFmtId="0" fontId="21" fillId="0" borderId="0" xfId="0" applyFont="1" applyFill="1" applyProtection="1"/>
    <xf numFmtId="0" fontId="21" fillId="0" borderId="0" xfId="0" applyFont="1" applyFill="1" applyAlignment="1" applyProtection="1">
      <alignment vertical="top"/>
    </xf>
    <xf numFmtId="0" fontId="33" fillId="0" borderId="0" xfId="0" applyFont="1" applyFill="1" applyBorder="1" applyAlignment="1" applyProtection="1">
      <alignment horizontal="left" vertical="center"/>
    </xf>
    <xf numFmtId="165" fontId="5" fillId="4" borderId="14" xfId="0" quotePrefix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BFF7FD"/>
      <color rgb="FFC9FFE4"/>
      <color rgb="FF99FFCC"/>
      <color rgb="FF66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7215295867669"/>
          <c:y val="1.7423381056108467E-2"/>
          <c:w val="0.78289448115766991"/>
          <c:h val="0.92532711175417148"/>
        </c:manualLayout>
      </c:layout>
      <c:scatterChart>
        <c:scatterStyle val="smoothMarker"/>
        <c:varyColors val="0"/>
        <c:ser>
          <c:idx val="0"/>
          <c:order val="0"/>
          <c:spPr>
            <a:ln w="25400"/>
          </c:spPr>
          <c:marker>
            <c:symbol val="none"/>
          </c:marker>
          <c:xVal>
            <c:numRef>
              <c:f>'F3'!$G$13:$G$92</c:f>
              <c:numCache>
                <c:formatCode>0.0000</c:formatCode>
                <c:ptCount val="80"/>
                <c:pt idx="0" formatCode="0.0">
                  <c:v>5.8799999999999998E-2</c:v>
                </c:pt>
                <c:pt idx="1">
                  <c:v>5.8599999999999999E-2</c:v>
                </c:pt>
                <c:pt idx="2">
                  <c:v>5.8200000000000002E-2</c:v>
                </c:pt>
                <c:pt idx="3">
                  <c:v>5.79E-2</c:v>
                </c:pt>
                <c:pt idx="4">
                  <c:v>5.74E-2</c:v>
                </c:pt>
                <c:pt idx="5">
                  <c:v>5.67E-2</c:v>
                </c:pt>
                <c:pt idx="6">
                  <c:v>5.5800000000000002E-2</c:v>
                </c:pt>
                <c:pt idx="7">
                  <c:v>5.4399999999999997E-2</c:v>
                </c:pt>
                <c:pt idx="8">
                  <c:v>5.1799999999999999E-2</c:v>
                </c:pt>
                <c:pt idx="9">
                  <c:v>4.8300000000000003E-2</c:v>
                </c:pt>
                <c:pt idx="10">
                  <c:v>4.3299999999999998E-2</c:v>
                </c:pt>
                <c:pt idx="11">
                  <c:v>3.6900000000000002E-2</c:v>
                </c:pt>
                <c:pt idx="12">
                  <c:v>2.8799999999999999E-2</c:v>
                </c:pt>
                <c:pt idx="13">
                  <c:v>1.83E-2</c:v>
                </c:pt>
                <c:pt idx="14">
                  <c:v>5.4999999999999997E-3</c:v>
                </c:pt>
                <c:pt idx="15">
                  <c:v>-1.0200000000000001E-2</c:v>
                </c:pt>
                <c:pt idx="16">
                  <c:v>-2.8899999999999999E-2</c:v>
                </c:pt>
                <c:pt idx="17">
                  <c:v>-5.3699999999999998E-2</c:v>
                </c:pt>
                <c:pt idx="18">
                  <c:v>-8.3199999999999996E-2</c:v>
                </c:pt>
                <c:pt idx="19">
                  <c:v>-0.115</c:v>
                </c:pt>
                <c:pt idx="20">
                  <c:v>-0.1457</c:v>
                </c:pt>
                <c:pt idx="21">
                  <c:v>-0.186</c:v>
                </c:pt>
                <c:pt idx="22">
                  <c:v>-0.19439999999999999</c:v>
                </c:pt>
                <c:pt idx="23">
                  <c:v>-0.19639999999999999</c:v>
                </c:pt>
                <c:pt idx="24">
                  <c:v>-0.19320000000000001</c:v>
                </c:pt>
                <c:pt idx="25">
                  <c:v>-0.18559999999999999</c:v>
                </c:pt>
                <c:pt idx="26">
                  <c:v>-0.17469999999999999</c:v>
                </c:pt>
                <c:pt idx="27">
                  <c:v>-0.1618</c:v>
                </c:pt>
                <c:pt idx="28">
                  <c:v>-0.14779999999999999</c:v>
                </c:pt>
                <c:pt idx="29">
                  <c:v>-0.13350000000000001</c:v>
                </c:pt>
                <c:pt idx="30">
                  <c:v>-0.1186</c:v>
                </c:pt>
                <c:pt idx="31">
                  <c:v>-0.1026</c:v>
                </c:pt>
                <c:pt idx="32">
                  <c:v>-8.5099999999999995E-2</c:v>
                </c:pt>
                <c:pt idx="33">
                  <c:v>-6.59E-2</c:v>
                </c:pt>
                <c:pt idx="34">
                  <c:v>-4.4699999999999997E-2</c:v>
                </c:pt>
                <c:pt idx="35">
                  <c:v>-2.12E-2</c:v>
                </c:pt>
                <c:pt idx="36">
                  <c:v>4.7000000000000002E-3</c:v>
                </c:pt>
                <c:pt idx="37">
                  <c:v>3.3300000000000003E-2</c:v>
                </c:pt>
                <c:pt idx="38">
                  <c:v>6.4500000000000002E-2</c:v>
                </c:pt>
                <c:pt idx="39">
                  <c:v>9.8100000000000007E-2</c:v>
                </c:pt>
                <c:pt idx="40">
                  <c:v>0.1336</c:v>
                </c:pt>
                <c:pt idx="41">
                  <c:v>0.17030000000000001</c:v>
                </c:pt>
                <c:pt idx="42">
                  <c:v>0.20569999999999999</c:v>
                </c:pt>
                <c:pt idx="43">
                  <c:v>0.24010000000000001</c:v>
                </c:pt>
                <c:pt idx="44">
                  <c:v>0.27129999999999999</c:v>
                </c:pt>
                <c:pt idx="45">
                  <c:v>0.2989</c:v>
                </c:pt>
                <c:pt idx="46">
                  <c:v>0.32240000000000002</c:v>
                </c:pt>
                <c:pt idx="47">
                  <c:v>0.34210000000000002</c:v>
                </c:pt>
                <c:pt idx="48">
                  <c:v>0.35870000000000002</c:v>
                </c:pt>
                <c:pt idx="49">
                  <c:v>0.373</c:v>
                </c:pt>
                <c:pt idx="50">
                  <c:v>0.38519999999999999</c:v>
                </c:pt>
                <c:pt idx="51">
                  <c:v>0.39510000000000001</c:v>
                </c:pt>
                <c:pt idx="52">
                  <c:v>0.40260000000000001</c:v>
                </c:pt>
                <c:pt idx="53">
                  <c:v>0.40849999999999997</c:v>
                </c:pt>
                <c:pt idx="54">
                  <c:v>0.41299999999999998</c:v>
                </c:pt>
                <c:pt idx="55">
                  <c:v>0.41589999999999999</c:v>
                </c:pt>
                <c:pt idx="56">
                  <c:v>0.41830000000000001</c:v>
                </c:pt>
                <c:pt idx="57">
                  <c:v>0.42020000000000002</c:v>
                </c:pt>
                <c:pt idx="58">
                  <c:v>0.42209999999999998</c:v>
                </c:pt>
                <c:pt idx="59">
                  <c:v>0.42380000000000001</c:v>
                </c:pt>
                <c:pt idx="60">
                  <c:v>0.42470000000000002</c:v>
                </c:pt>
                <c:pt idx="61">
                  <c:v>0.42530000000000001</c:v>
                </c:pt>
                <c:pt idx="62">
                  <c:v>0.42549999999999999</c:v>
                </c:pt>
                <c:pt idx="63">
                  <c:v>0.42549999999999999</c:v>
                </c:pt>
                <c:pt idx="64">
                  <c:v>0.42549999999999999</c:v>
                </c:pt>
                <c:pt idx="65">
                  <c:v>0.42549999999999999</c:v>
                </c:pt>
                <c:pt idx="66">
                  <c:v>0.42549999999999999</c:v>
                </c:pt>
                <c:pt idx="67">
                  <c:v>0.42549999999999999</c:v>
                </c:pt>
                <c:pt idx="68">
                  <c:v>0.42549999999999999</c:v>
                </c:pt>
                <c:pt idx="69">
                  <c:v>0.42549999999999999</c:v>
                </c:pt>
                <c:pt idx="70">
                  <c:v>0.42549999999999999</c:v>
                </c:pt>
                <c:pt idx="71">
                  <c:v>0.42549999999999999</c:v>
                </c:pt>
                <c:pt idx="72">
                  <c:v>0.42549999999999999</c:v>
                </c:pt>
                <c:pt idx="73">
                  <c:v>0.42549999999999999</c:v>
                </c:pt>
                <c:pt idx="74">
                  <c:v>0.42549999999999999</c:v>
                </c:pt>
                <c:pt idx="75">
                  <c:v>0.42549999999999999</c:v>
                </c:pt>
                <c:pt idx="76">
                  <c:v>0.42549999999999999</c:v>
                </c:pt>
                <c:pt idx="77">
                  <c:v>0.42549999999999999</c:v>
                </c:pt>
                <c:pt idx="78">
                  <c:v>0.42549999999999999</c:v>
                </c:pt>
                <c:pt idx="79">
                  <c:v>5.8999999999999997E-2</c:v>
                </c:pt>
              </c:numCache>
            </c:numRef>
          </c:xVal>
          <c:yVal>
            <c:numRef>
              <c:f>'F3'!$H$13:$H$92</c:f>
              <c:numCache>
                <c:formatCode>0.0000</c:formatCode>
                <c:ptCount val="80"/>
                <c:pt idx="0" formatCode="0.0">
                  <c:v>-0.45179999999999998</c:v>
                </c:pt>
                <c:pt idx="1">
                  <c:v>-0.45200000000000001</c:v>
                </c:pt>
                <c:pt idx="2">
                  <c:v>-0.45200000000000001</c:v>
                </c:pt>
                <c:pt idx="3">
                  <c:v>-0.45240000000000002</c:v>
                </c:pt>
                <c:pt idx="4">
                  <c:v>-0.45250000000000001</c:v>
                </c:pt>
                <c:pt idx="5">
                  <c:v>-0.45240000000000002</c:v>
                </c:pt>
                <c:pt idx="6">
                  <c:v>-0.45229999999999998</c:v>
                </c:pt>
                <c:pt idx="7">
                  <c:v>-0.45140000000000002</c:v>
                </c:pt>
                <c:pt idx="8">
                  <c:v>-0.44919999999999999</c:v>
                </c:pt>
                <c:pt idx="9">
                  <c:v>-0.44569999999999999</c:v>
                </c:pt>
                <c:pt idx="10">
                  <c:v>-0.4405</c:v>
                </c:pt>
                <c:pt idx="11">
                  <c:v>-0.4335</c:v>
                </c:pt>
                <c:pt idx="12">
                  <c:v>-0.42470000000000002</c:v>
                </c:pt>
                <c:pt idx="13">
                  <c:v>-0.41339999999999999</c:v>
                </c:pt>
                <c:pt idx="14">
                  <c:v>-0.39950000000000002</c:v>
                </c:pt>
                <c:pt idx="15">
                  <c:v>-0.38119999999999998</c:v>
                </c:pt>
                <c:pt idx="16">
                  <c:v>-0.35639999999999999</c:v>
                </c:pt>
                <c:pt idx="17">
                  <c:v>-0.31730000000000003</c:v>
                </c:pt>
                <c:pt idx="18">
                  <c:v>-0.26390000000000002</c:v>
                </c:pt>
                <c:pt idx="19">
                  <c:v>-0.19750000000000001</c:v>
                </c:pt>
                <c:pt idx="20">
                  <c:v>-0.12559999999999999</c:v>
                </c:pt>
                <c:pt idx="21">
                  <c:v>1.5E-3</c:v>
                </c:pt>
                <c:pt idx="22">
                  <c:v>4.4699999999999997E-2</c:v>
                </c:pt>
                <c:pt idx="23">
                  <c:v>7.4800000000000005E-2</c:v>
                </c:pt>
                <c:pt idx="24">
                  <c:v>9.5500000000000002E-2</c:v>
                </c:pt>
                <c:pt idx="25">
                  <c:v>0.1086</c:v>
                </c:pt>
                <c:pt idx="26">
                  <c:v>0.1153</c:v>
                </c:pt>
                <c:pt idx="27">
                  <c:v>0.1178</c:v>
                </c:pt>
                <c:pt idx="28">
                  <c:v>0.11840000000000001</c:v>
                </c:pt>
                <c:pt idx="29">
                  <c:v>0.1182</c:v>
                </c:pt>
                <c:pt idx="30">
                  <c:v>0.1173</c:v>
                </c:pt>
                <c:pt idx="31">
                  <c:v>0.1158</c:v>
                </c:pt>
                <c:pt idx="32">
                  <c:v>0.1137</c:v>
                </c:pt>
                <c:pt idx="33">
                  <c:v>0.11119999999999999</c:v>
                </c:pt>
                <c:pt idx="34">
                  <c:v>0.1082</c:v>
                </c:pt>
                <c:pt idx="35">
                  <c:v>0.1048</c:v>
                </c:pt>
                <c:pt idx="36">
                  <c:v>0.10100000000000001</c:v>
                </c:pt>
                <c:pt idx="37">
                  <c:v>9.6799999999999997E-2</c:v>
                </c:pt>
                <c:pt idx="38">
                  <c:v>9.2100000000000001E-2</c:v>
                </c:pt>
                <c:pt idx="39">
                  <c:v>8.7099999999999997E-2</c:v>
                </c:pt>
                <c:pt idx="40">
                  <c:v>8.1799999999999998E-2</c:v>
                </c:pt>
                <c:pt idx="41">
                  <c:v>7.6300000000000007E-2</c:v>
                </c:pt>
                <c:pt idx="42">
                  <c:v>7.0999999999999994E-2</c:v>
                </c:pt>
                <c:pt idx="43">
                  <c:v>6.59E-2</c:v>
                </c:pt>
                <c:pt idx="44">
                  <c:v>6.1199999999999997E-2</c:v>
                </c:pt>
                <c:pt idx="45">
                  <c:v>5.7099999999999998E-2</c:v>
                </c:pt>
                <c:pt idx="46">
                  <c:v>5.3600000000000002E-2</c:v>
                </c:pt>
                <c:pt idx="47">
                  <c:v>5.0599999999999999E-2</c:v>
                </c:pt>
                <c:pt idx="48">
                  <c:v>4.82E-2</c:v>
                </c:pt>
                <c:pt idx="49">
                  <c:v>4.5999999999999999E-2</c:v>
                </c:pt>
                <c:pt idx="50">
                  <c:v>4.4200000000000003E-2</c:v>
                </c:pt>
                <c:pt idx="51">
                  <c:v>4.2700000000000002E-2</c:v>
                </c:pt>
                <c:pt idx="52">
                  <c:v>4.1599999999999998E-2</c:v>
                </c:pt>
                <c:pt idx="53">
                  <c:v>4.07E-2</c:v>
                </c:pt>
                <c:pt idx="54">
                  <c:v>0.04</c:v>
                </c:pt>
                <c:pt idx="55">
                  <c:v>3.9600000000000003E-2</c:v>
                </c:pt>
                <c:pt idx="56">
                  <c:v>3.9199999999999999E-2</c:v>
                </c:pt>
                <c:pt idx="57">
                  <c:v>3.8899999999999997E-2</c:v>
                </c:pt>
                <c:pt idx="58">
                  <c:v>3.8699999999999998E-2</c:v>
                </c:pt>
                <c:pt idx="59">
                  <c:v>3.8399999999999997E-2</c:v>
                </c:pt>
                <c:pt idx="60">
                  <c:v>3.8300000000000001E-2</c:v>
                </c:pt>
                <c:pt idx="61">
                  <c:v>3.8199999999999998E-2</c:v>
                </c:pt>
                <c:pt idx="62">
                  <c:v>3.8199999999999998E-2</c:v>
                </c:pt>
                <c:pt idx="63">
                  <c:v>3.8199999999999998E-2</c:v>
                </c:pt>
                <c:pt idx="64">
                  <c:v>3.8199999999999998E-2</c:v>
                </c:pt>
                <c:pt idx="65">
                  <c:v>3.8199999999999998E-2</c:v>
                </c:pt>
                <c:pt idx="66">
                  <c:v>3.8199999999999998E-2</c:v>
                </c:pt>
                <c:pt idx="67">
                  <c:v>3.8199999999999998E-2</c:v>
                </c:pt>
                <c:pt idx="68">
                  <c:v>3.8199999999999998E-2</c:v>
                </c:pt>
                <c:pt idx="69">
                  <c:v>3.8199999999999998E-2</c:v>
                </c:pt>
                <c:pt idx="70">
                  <c:v>3.8199999999999998E-2</c:v>
                </c:pt>
                <c:pt idx="71">
                  <c:v>3.8199999999999998E-2</c:v>
                </c:pt>
                <c:pt idx="72">
                  <c:v>3.8199999999999998E-2</c:v>
                </c:pt>
                <c:pt idx="73">
                  <c:v>3.8199999999999998E-2</c:v>
                </c:pt>
                <c:pt idx="74">
                  <c:v>3.8199999999999998E-2</c:v>
                </c:pt>
                <c:pt idx="75">
                  <c:v>3.8199999999999998E-2</c:v>
                </c:pt>
                <c:pt idx="76">
                  <c:v>3.8199999999999998E-2</c:v>
                </c:pt>
                <c:pt idx="77">
                  <c:v>3.8199999999999998E-2</c:v>
                </c:pt>
                <c:pt idx="78">
                  <c:v>3.8199999999999998E-2</c:v>
                </c:pt>
                <c:pt idx="79">
                  <c:v>-0.45190000000000002</c:v>
                </c:pt>
              </c:numCache>
            </c:numRef>
          </c:yVal>
          <c:smooth val="1"/>
        </c:ser>
        <c:ser>
          <c:idx val="1"/>
          <c:order val="1"/>
          <c:spPr>
            <a:ln w="15875"/>
          </c:spPr>
          <c:marker>
            <c:symbol val="none"/>
          </c:marker>
          <c:xVal>
            <c:numRef>
              <c:f>'F3'!$I$13:$I$33</c:f>
              <c:numCache>
                <c:formatCode>0.000</c:formatCode>
                <c:ptCount val="21"/>
                <c:pt idx="0" formatCode="General">
                  <c:v>0</c:v>
                </c:pt>
                <c:pt idx="1">
                  <c:v>-3.4000000000000002E-2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-0.17100000000000001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0.02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9.5000000000000001E-2</c:v>
                </c:pt>
                <c:pt idx="11" formatCode="General">
                  <c:v>0</c:v>
                </c:pt>
                <c:pt idx="12" formatCode="General">
                  <c:v>0</c:v>
                </c:pt>
                <c:pt idx="13">
                  <c:v>0.24099999999999999</c:v>
                </c:pt>
                <c:pt idx="14" formatCode="General">
                  <c:v>0</c:v>
                </c:pt>
                <c:pt idx="15" formatCode="General">
                  <c:v>0</c:v>
                </c:pt>
                <c:pt idx="16">
                  <c:v>0.35</c:v>
                </c:pt>
                <c:pt idx="17" formatCode="General">
                  <c:v>0</c:v>
                </c:pt>
                <c:pt idx="18" formatCode="General">
                  <c:v>0</c:v>
                </c:pt>
                <c:pt idx="19">
                  <c:v>0.16600000000000001</c:v>
                </c:pt>
                <c:pt idx="20" formatCode="General">
                  <c:v>0</c:v>
                </c:pt>
              </c:numCache>
            </c:numRef>
          </c:xVal>
          <c:yVal>
            <c:numRef>
              <c:f>'F3'!$J$13:$J$33</c:f>
              <c:numCache>
                <c:formatCode>0.000</c:formatCode>
                <c:ptCount val="21"/>
                <c:pt idx="0" formatCode="General">
                  <c:v>0</c:v>
                </c:pt>
                <c:pt idx="1">
                  <c:v>-0.34799999999999998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-5.5E-2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9.8000000000000004E-2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8.8999999999999996E-2</c:v>
                </c:pt>
                <c:pt idx="11" formatCode="General">
                  <c:v>0</c:v>
                </c:pt>
                <c:pt idx="12" formatCode="General">
                  <c:v>0</c:v>
                </c:pt>
                <c:pt idx="13">
                  <c:v>6.5000000000000002E-2</c:v>
                </c:pt>
                <c:pt idx="14" formatCode="General">
                  <c:v>0</c:v>
                </c:pt>
                <c:pt idx="15" formatCode="General">
                  <c:v>0</c:v>
                </c:pt>
                <c:pt idx="16">
                  <c:v>-6.2E-2</c:v>
                </c:pt>
                <c:pt idx="17" formatCode="General">
                  <c:v>0</c:v>
                </c:pt>
                <c:pt idx="18" formatCode="General">
                  <c:v>0</c:v>
                </c:pt>
                <c:pt idx="19">
                  <c:v>-0.30199999999999999</c:v>
                </c:pt>
                <c:pt idx="20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Point de couleur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numRef>
              <c:f>'F3'!$L$12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'F3'!$M$12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73344"/>
        <c:axId val="77291904"/>
      </c:scatterChart>
      <c:valAx>
        <c:axId val="77273344"/>
        <c:scaling>
          <c:orientation val="minMax"/>
          <c:max val="0.5"/>
          <c:min val="-0.2"/>
        </c:scaling>
        <c:delete val="0"/>
        <c:axPos val="b"/>
        <c:majorGridlines/>
        <c:numFmt formatCode="0.0" sourceLinked="1"/>
        <c:majorTickMark val="out"/>
        <c:minorTickMark val="none"/>
        <c:tickLblPos val="low"/>
        <c:crossAx val="77291904"/>
        <c:crosses val="autoZero"/>
        <c:crossBetween val="midCat"/>
        <c:majorUnit val="0.1"/>
        <c:minorUnit val="0.1"/>
      </c:valAx>
      <c:valAx>
        <c:axId val="77291904"/>
        <c:scaling>
          <c:orientation val="minMax"/>
          <c:max val="0.2"/>
          <c:min val="-0.5"/>
        </c:scaling>
        <c:delete val="0"/>
        <c:axPos val="l"/>
        <c:majorGridlines/>
        <c:numFmt formatCode="0.0" sourceLinked="1"/>
        <c:majorTickMark val="out"/>
        <c:minorTickMark val="none"/>
        <c:tickLblPos val="low"/>
        <c:crossAx val="77273344"/>
        <c:crosses val="autoZero"/>
        <c:crossBetween val="midCat"/>
        <c:majorUnit val="0.1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79438758325016"/>
          <c:y val="6.6459734613599317E-2"/>
          <c:w val="0.78221159503484416"/>
          <c:h val="0.83773704110132419"/>
        </c:manualLayout>
      </c:layout>
      <c:scatterChart>
        <c:scatterStyle val="lineMarker"/>
        <c:varyColors val="0"/>
        <c:ser>
          <c:idx val="0"/>
          <c:order val="0"/>
          <c:tx>
            <c:v>Point de couleur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numRef>
              <c:f>'F3'!$L$13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'F3'!$M$13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'F3'!$L$18:$L$35</c:f>
              <c:numCache>
                <c:formatCode>0.000</c:formatCode>
                <c:ptCount val="18"/>
                <c:pt idx="0">
                  <c:v>1</c:v>
                </c:pt>
                <c:pt idx="1">
                  <c:v>0.34242268082220628</c:v>
                </c:pt>
                <c:pt idx="2">
                  <c:v>0.34242268082220628</c:v>
                </c:pt>
                <c:pt idx="3">
                  <c:v>0.17609125905568124</c:v>
                </c:pt>
                <c:pt idx="4">
                  <c:v>0.17609125905568124</c:v>
                </c:pt>
                <c:pt idx="5">
                  <c:v>0.11394335230683679</c:v>
                </c:pt>
                <c:pt idx="6">
                  <c:v>0.11394335230683679</c:v>
                </c:pt>
                <c:pt idx="7">
                  <c:v>0.16136800223497488</c:v>
                </c:pt>
                <c:pt idx="8">
                  <c:v>0.16136800223497488</c:v>
                </c:pt>
                <c:pt idx="9">
                  <c:v>0.24303804868629444</c:v>
                </c:pt>
                <c:pt idx="10">
                  <c:v>0.24303804868629444</c:v>
                </c:pt>
                <c:pt idx="11">
                  <c:v>0.33243845991560533</c:v>
                </c:pt>
                <c:pt idx="12">
                  <c:v>0.33243845991560533</c:v>
                </c:pt>
                <c:pt idx="13">
                  <c:v>0.3979400086720376</c:v>
                </c:pt>
                <c:pt idx="14">
                  <c:v>0.3979400086720376</c:v>
                </c:pt>
                <c:pt idx="15">
                  <c:v>0.50514997831990605</c:v>
                </c:pt>
                <c:pt idx="16">
                  <c:v>0.505</c:v>
                </c:pt>
                <c:pt idx="17">
                  <c:v>1</c:v>
                </c:pt>
              </c:numCache>
            </c:numRef>
          </c:xVal>
          <c:yVal>
            <c:numRef>
              <c:f>'F3'!$M$18:$M$35</c:f>
              <c:numCache>
                <c:formatCode>General</c:formatCode>
                <c:ptCount val="18"/>
                <c:pt idx="0">
                  <c:v>94</c:v>
                </c:pt>
                <c:pt idx="1">
                  <c:v>94</c:v>
                </c:pt>
                <c:pt idx="2">
                  <c:v>92</c:v>
                </c:pt>
                <c:pt idx="3">
                  <c:v>92</c:v>
                </c:pt>
                <c:pt idx="4">
                  <c:v>89.5</c:v>
                </c:pt>
                <c:pt idx="5">
                  <c:v>89.5</c:v>
                </c:pt>
                <c:pt idx="6">
                  <c:v>79</c:v>
                </c:pt>
                <c:pt idx="7">
                  <c:v>79</c:v>
                </c:pt>
                <c:pt idx="8">
                  <c:v>57</c:v>
                </c:pt>
                <c:pt idx="9">
                  <c:v>57</c:v>
                </c:pt>
                <c:pt idx="10">
                  <c:v>39</c:v>
                </c:pt>
                <c:pt idx="11">
                  <c:v>39</c:v>
                </c:pt>
                <c:pt idx="12">
                  <c:v>27</c:v>
                </c:pt>
                <c:pt idx="13">
                  <c:v>27</c:v>
                </c:pt>
                <c:pt idx="14">
                  <c:v>15</c:v>
                </c:pt>
                <c:pt idx="15">
                  <c:v>15</c:v>
                </c:pt>
                <c:pt idx="16">
                  <c:v>3</c:v>
                </c:pt>
                <c:pt idx="17">
                  <c:v>3</c:v>
                </c:pt>
              </c:numCache>
            </c:numRef>
          </c:yVal>
          <c:smooth val="0"/>
        </c:ser>
        <c:ser>
          <c:idx val="3"/>
          <c:order val="2"/>
          <c:spPr>
            <a:ln w="15875">
              <a:solidFill>
                <a:schemeClr val="tx1"/>
              </a:solidFill>
            </a:ln>
          </c:spPr>
          <c:dPt>
            <c:idx val="1"/>
            <c:marker>
              <c:symbol val="none"/>
            </c:marker>
            <c:bubble3D val="0"/>
            <c:spPr>
              <a:ln w="15875">
                <a:solidFill>
                  <a:schemeClr val="accent1"/>
                </a:solidFill>
              </a:ln>
            </c:spPr>
          </c:dPt>
          <c:xVal>
            <c:numRef>
              <c:f>'F3'!$L$36:$L$37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'F3'!$M$36:$M$37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3"/>
          <c:spPr>
            <a:ln w="15875"/>
          </c:spPr>
          <c:marker>
            <c:symbol val="none"/>
          </c:marker>
          <c:xVal>
            <c:numRef>
              <c:f>'F3'!$L$38:$L$55</c:f>
              <c:numCache>
                <c:formatCode>0.000</c:formatCode>
                <c:ptCount val="18"/>
                <c:pt idx="0">
                  <c:v>0.3010299956639812</c:v>
                </c:pt>
                <c:pt idx="1">
                  <c:v>0.3010299956639812</c:v>
                </c:pt>
                <c:pt idx="2">
                  <c:v>9.691001300805642E-2</c:v>
                </c:pt>
                <c:pt idx="3">
                  <c:v>9.691001300805642E-2</c:v>
                </c:pt>
                <c:pt idx="4">
                  <c:v>6.069784035361165E-2</c:v>
                </c:pt>
                <c:pt idx="5">
                  <c:v>6.069784035361165E-2</c:v>
                </c:pt>
                <c:pt idx="6">
                  <c:v>6.069784035361165E-2</c:v>
                </c:pt>
                <c:pt idx="7">
                  <c:v>6.069784035361165E-2</c:v>
                </c:pt>
                <c:pt idx="8">
                  <c:v>7.9181246047624818E-2</c:v>
                </c:pt>
                <c:pt idx="9">
                  <c:v>7.9181246047624818E-2</c:v>
                </c:pt>
                <c:pt idx="10">
                  <c:v>0.13033376849500614</c:v>
                </c:pt>
                <c:pt idx="11">
                  <c:v>0.13033376849500614</c:v>
                </c:pt>
                <c:pt idx="12">
                  <c:v>0.1903316981702915</c:v>
                </c:pt>
                <c:pt idx="13">
                  <c:v>0.1903316981702915</c:v>
                </c:pt>
                <c:pt idx="14">
                  <c:v>0.3010299956639812</c:v>
                </c:pt>
                <c:pt idx="15">
                  <c:v>0.3010299956639812</c:v>
                </c:pt>
                <c:pt idx="16">
                  <c:v>0.3979400086720376</c:v>
                </c:pt>
                <c:pt idx="17">
                  <c:v>0.3979400086720376</c:v>
                </c:pt>
              </c:numCache>
            </c:numRef>
          </c:xVal>
          <c:yVal>
            <c:numRef>
              <c:f>'F3'!$M$38:$M$55</c:f>
              <c:numCache>
                <c:formatCode>General</c:formatCode>
                <c:ptCount val="18"/>
                <c:pt idx="0">
                  <c:v>100</c:v>
                </c:pt>
                <c:pt idx="1">
                  <c:v>94</c:v>
                </c:pt>
                <c:pt idx="2">
                  <c:v>94</c:v>
                </c:pt>
                <c:pt idx="3">
                  <c:v>92</c:v>
                </c:pt>
                <c:pt idx="4">
                  <c:v>92</c:v>
                </c:pt>
                <c:pt idx="5">
                  <c:v>89.5</c:v>
                </c:pt>
                <c:pt idx="6">
                  <c:v>89.5</c:v>
                </c:pt>
                <c:pt idx="7">
                  <c:v>79</c:v>
                </c:pt>
                <c:pt idx="8">
                  <c:v>79</c:v>
                </c:pt>
                <c:pt idx="9">
                  <c:v>57</c:v>
                </c:pt>
                <c:pt idx="10">
                  <c:v>57</c:v>
                </c:pt>
                <c:pt idx="11">
                  <c:v>39</c:v>
                </c:pt>
                <c:pt idx="12">
                  <c:v>39</c:v>
                </c:pt>
                <c:pt idx="13">
                  <c:v>27</c:v>
                </c:pt>
                <c:pt idx="14">
                  <c:v>27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29920"/>
        <c:axId val="77331456"/>
      </c:scatterChart>
      <c:valAx>
        <c:axId val="77329920"/>
        <c:scaling>
          <c:orientation val="minMax"/>
          <c:max val="1"/>
        </c:scaling>
        <c:delete val="0"/>
        <c:axPos val="b"/>
        <c:numFmt formatCode="0.000" sourceLinked="1"/>
        <c:majorTickMark val="out"/>
        <c:minorTickMark val="none"/>
        <c:tickLblPos val="none"/>
        <c:crossAx val="77331456"/>
        <c:crosses val="autoZero"/>
        <c:crossBetween val="midCat"/>
        <c:majorUnit val="0.5"/>
        <c:minorUnit val="1.0000000000000002E-2"/>
      </c:valAx>
      <c:valAx>
        <c:axId val="77331456"/>
        <c:scaling>
          <c:orientation val="minMax"/>
          <c:max val="101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crossAx val="77329920"/>
        <c:crosses val="autoZero"/>
        <c:crossBetween val="midCat"/>
        <c:majorUnit val="1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18</xdr:row>
      <xdr:rowOff>123826</xdr:rowOff>
    </xdr:from>
    <xdr:to>
      <xdr:col>11</xdr:col>
      <xdr:colOff>74084</xdr:colOff>
      <xdr:row>42</xdr:row>
      <xdr:rowOff>127000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222250</xdr:colOff>
      <xdr:row>18</xdr:row>
      <xdr:rowOff>126999</xdr:rowOff>
    </xdr:from>
    <xdr:to>
      <xdr:col>16</xdr:col>
      <xdr:colOff>681565</xdr:colOff>
      <xdr:row>42</xdr:row>
      <xdr:rowOff>3438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264583</xdr:colOff>
      <xdr:row>0</xdr:row>
      <xdr:rowOff>105834</xdr:rowOff>
    </xdr:from>
    <xdr:to>
      <xdr:col>1</xdr:col>
      <xdr:colOff>1344082</xdr:colOff>
      <xdr:row>8</xdr:row>
      <xdr:rowOff>344683</xdr:rowOff>
    </xdr:to>
    <xdr:pic>
      <xdr:nvPicPr>
        <xdr:cNvPr id="5" name="Image 4" descr="4015786406-couleurs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05834"/>
          <a:ext cx="1523999" cy="22390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0.54778</cdr:x>
      <cdr:y>0.61441</cdr:y>
    </cdr:from>
    <cdr:to>
      <cdr:x>0.72694</cdr:x>
      <cdr:y>0.66222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66817" y="2811050"/>
          <a:ext cx="1003042" cy="218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Pourpre</a:t>
          </a:r>
        </a:p>
      </cdr:txBody>
    </cdr:sp>
  </cdr:relSizeAnchor>
  <cdr:relSizeAnchor xmlns:cdr="http://schemas.openxmlformats.org/drawingml/2006/chartDrawing">
    <cdr:from>
      <cdr:x>0.6807</cdr:x>
      <cdr:y>0.15272</cdr:y>
    </cdr:from>
    <cdr:to>
      <cdr:x>0.82878</cdr:x>
      <cdr:y>0.20997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46127" y="615334"/>
          <a:ext cx="662661" cy="230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Rouge</a:t>
          </a:r>
        </a:p>
      </cdr:txBody>
    </cdr:sp>
  </cdr:relSizeAnchor>
  <cdr:relSizeAnchor xmlns:cdr="http://schemas.openxmlformats.org/drawingml/2006/chartDrawing">
    <cdr:from>
      <cdr:x>0.11441</cdr:x>
      <cdr:y>0.05782</cdr:y>
    </cdr:from>
    <cdr:to>
      <cdr:x>0.24969</cdr:x>
      <cdr:y>0.10945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40513" y="264538"/>
          <a:ext cx="757376" cy="23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Vert</a:t>
          </a:r>
        </a:p>
      </cdr:txBody>
    </cdr:sp>
  </cdr:relSizeAnchor>
  <cdr:relSizeAnchor xmlns:cdr="http://schemas.openxmlformats.org/drawingml/2006/chartDrawing">
    <cdr:from>
      <cdr:x>0.43918</cdr:x>
      <cdr:y>0.83535</cdr:y>
    </cdr:from>
    <cdr:to>
      <cdr:x>0.62199</cdr:x>
      <cdr:y>0.90227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458798" y="3821886"/>
          <a:ext cx="1023477" cy="306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Violet</a:t>
          </a:r>
        </a:p>
      </cdr:txBody>
    </cdr:sp>
  </cdr:relSizeAnchor>
  <cdr:relSizeAnchor xmlns:cdr="http://schemas.openxmlformats.org/drawingml/2006/chartDrawing">
    <cdr:from>
      <cdr:x>0.1325</cdr:x>
      <cdr:y>0.60942</cdr:y>
    </cdr:from>
    <cdr:to>
      <cdr:x>0.25828</cdr:x>
      <cdr:y>0.66869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741785" y="2788211"/>
          <a:ext cx="704190" cy="271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Bleu</a:t>
          </a:r>
        </a:p>
      </cdr:txBody>
    </cdr:sp>
  </cdr:relSizeAnchor>
  <cdr:relSizeAnchor xmlns:cdr="http://schemas.openxmlformats.org/drawingml/2006/chartDrawing">
    <cdr:from>
      <cdr:x>0.34692</cdr:x>
      <cdr:y>0.07575</cdr:y>
    </cdr:from>
    <cdr:to>
      <cdr:x>0.495</cdr:x>
      <cdr:y>0.13926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942256" y="346556"/>
          <a:ext cx="829039" cy="290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Jaune</a:t>
          </a:r>
        </a:p>
      </cdr:txBody>
    </cdr:sp>
  </cdr:relSizeAnchor>
  <cdr:relSizeAnchor xmlns:cdr="http://schemas.openxmlformats.org/drawingml/2006/chartDrawing">
    <cdr:from>
      <cdr:x>0.51762</cdr:x>
      <cdr:y>0.10091</cdr:y>
    </cdr:from>
    <cdr:to>
      <cdr:x>0.66081</cdr:x>
      <cdr:y>0.16084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897948" y="461671"/>
          <a:ext cx="801661" cy="274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Orangé</a:t>
          </a:r>
        </a:p>
      </cdr:txBody>
    </cdr:sp>
  </cdr:relSizeAnchor>
  <cdr:relSizeAnchor xmlns:cdr="http://schemas.openxmlformats.org/drawingml/2006/chartDrawing">
    <cdr:from>
      <cdr:x>0.26685</cdr:x>
      <cdr:y>0.22739</cdr:y>
    </cdr:from>
    <cdr:to>
      <cdr:x>0.32352</cdr:x>
      <cdr:y>0.28319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1493980" y="1040341"/>
          <a:ext cx="317272" cy="255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W</a:t>
          </a:r>
        </a:p>
      </cdr:txBody>
    </cdr:sp>
  </cdr:relSizeAnchor>
  <cdr:relSizeAnchor xmlns:cdr="http://schemas.openxmlformats.org/drawingml/2006/chartDrawing">
    <cdr:from>
      <cdr:x>0.6598</cdr:x>
      <cdr:y>0.80606</cdr:y>
    </cdr:from>
    <cdr:to>
      <cdr:x>0.93007</cdr:x>
      <cdr:y>0.94081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3693929" y="3687844"/>
          <a:ext cx="1513130" cy="616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   Diagramme de</a:t>
          </a:r>
        </a:p>
        <a:p xmlns:a="http://schemas.openxmlformats.org/drawingml/2006/main">
          <a:r>
            <a:rPr lang="fr-FR" sz="1100"/>
            <a:t>chromaticité  </a:t>
          </a:r>
          <a:r>
            <a:rPr lang="fr-FR" sz="1100" i="1"/>
            <a:t>u'  v'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0.11547</cdr:x>
      <cdr:y>0</cdr:y>
    </cdr:from>
    <cdr:to>
      <cdr:x>0.33588</cdr:x>
      <cdr:y>0.05179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0853" y="0"/>
          <a:ext cx="650625" cy="222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i="1"/>
            <a:t>Blanc</a:t>
          </a:r>
        </a:p>
      </cdr:txBody>
    </cdr:sp>
  </cdr:relSizeAnchor>
  <cdr:relSizeAnchor xmlns:cdr="http://schemas.openxmlformats.org/drawingml/2006/chartDrawing">
    <cdr:from>
      <cdr:x>0.15228</cdr:x>
      <cdr:y>0.83989</cdr:y>
    </cdr:from>
    <cdr:to>
      <cdr:x>0.45068</cdr:x>
      <cdr:y>0.90582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49513" y="3397815"/>
          <a:ext cx="880842" cy="266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i="1"/>
            <a:t>Noir</a:t>
          </a:r>
        </a:p>
      </cdr:txBody>
    </cdr:sp>
  </cdr:relSizeAnchor>
  <cdr:relSizeAnchor xmlns:cdr="http://schemas.openxmlformats.org/drawingml/2006/chartDrawing">
    <cdr:from>
      <cdr:x>0.27191</cdr:x>
      <cdr:y>0.91037</cdr:y>
    </cdr:from>
    <cdr:to>
      <cdr:x>0.99208</cdr:x>
      <cdr:y>0.97054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872532" y="4031425"/>
          <a:ext cx="2310935" cy="266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Echelle  relative  de  saturation</a:t>
          </a:r>
        </a:p>
      </cdr:txBody>
    </cdr:sp>
  </cdr:relSizeAnchor>
  <cdr:relSizeAnchor xmlns:cdr="http://schemas.openxmlformats.org/drawingml/2006/chartDrawing">
    <cdr:from>
      <cdr:x>0.00928</cdr:x>
      <cdr:y>0.16135</cdr:y>
    </cdr:from>
    <cdr:to>
      <cdr:x>0.18851</cdr:x>
      <cdr:y>0.21814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0370" y="714533"/>
          <a:ext cx="586797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Clarté</a:t>
          </a:r>
        </a:p>
      </cdr:txBody>
    </cdr:sp>
  </cdr:relSizeAnchor>
  <cdr:relSizeAnchor xmlns:cdr="http://schemas.openxmlformats.org/drawingml/2006/chartDrawing">
    <cdr:from>
      <cdr:x>0.48949</cdr:x>
      <cdr:y>0.11591</cdr:y>
    </cdr:from>
    <cdr:to>
      <cdr:x>0.94152</cdr:x>
      <cdr:y>0.16921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594383" y="513296"/>
          <a:ext cx="1472332" cy="236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Limite  des  neutres</a:t>
          </a:r>
        </a:p>
      </cdr:txBody>
    </cdr:sp>
  </cdr:relSizeAnchor>
  <cdr:relSizeAnchor xmlns:cdr="http://schemas.openxmlformats.org/drawingml/2006/chartDrawing">
    <cdr:from>
      <cdr:x>0.55212</cdr:x>
      <cdr:y>0</cdr:y>
    </cdr:from>
    <cdr:to>
      <cdr:x>1</cdr:x>
      <cdr:y>0.06662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2152663" y="0"/>
          <a:ext cx="1746236" cy="296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  Saturation  CIELUV  </a:t>
          </a:r>
          <a:r>
            <a:rPr lang="fr-FR" sz="1400" i="1"/>
            <a:t>s</a:t>
          </a:r>
          <a:r>
            <a:rPr lang="fr-FR" sz="1000" i="1"/>
            <a:t>uv</a:t>
          </a:r>
          <a:r>
            <a:rPr lang="fr-FR" sz="1100"/>
            <a:t>  =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zoomScale="90" zoomScaleNormal="90" workbookViewId="0">
      <selection activeCell="E14" sqref="E14"/>
    </sheetView>
  </sheetViews>
  <sheetFormatPr baseColWidth="10" defaultRowHeight="15" x14ac:dyDescent="0.25"/>
  <cols>
    <col min="1" max="1" width="6.7109375" style="83" customWidth="1"/>
    <col min="2" max="2" width="63.7109375" style="83" customWidth="1"/>
    <col min="3" max="3" width="12.7109375" style="83" customWidth="1"/>
    <col min="4" max="4" width="11.140625" style="83" customWidth="1"/>
    <col min="5" max="5" width="10.140625" style="83" customWidth="1"/>
    <col min="6" max="6" width="9" style="83" customWidth="1"/>
    <col min="7" max="7" width="9.140625" style="83" customWidth="1"/>
    <col min="8" max="8" width="10.5703125" style="83" customWidth="1"/>
    <col min="9" max="9" width="10.85546875" style="83" customWidth="1"/>
    <col min="10" max="10" width="12" style="83" customWidth="1"/>
    <col min="11" max="11" width="10.28515625" style="83" customWidth="1"/>
    <col min="12" max="12" width="11" style="83" customWidth="1"/>
    <col min="13" max="13" width="8.85546875" style="83" customWidth="1"/>
    <col min="14" max="14" width="10.7109375" style="83" customWidth="1"/>
    <col min="15" max="15" width="10.85546875" style="83" customWidth="1"/>
    <col min="16" max="16" width="10.140625" style="83" customWidth="1"/>
    <col min="17" max="17" width="11.140625" style="83" customWidth="1"/>
    <col min="18" max="18" width="11.85546875" style="83" customWidth="1"/>
    <col min="19" max="19" width="5.85546875" style="83" customWidth="1"/>
    <col min="20" max="20" width="10.5703125" style="83" customWidth="1"/>
    <col min="21" max="21" width="11.7109375" style="83" customWidth="1"/>
    <col min="22" max="22" width="12.28515625" style="83" customWidth="1"/>
    <col min="23" max="23" width="9.5703125" style="83" customWidth="1"/>
    <col min="24" max="24" width="13.140625" style="83" bestFit="1" customWidth="1"/>
    <col min="25" max="25" width="12.5703125" style="83" bestFit="1" customWidth="1"/>
    <col min="26" max="16384" width="11.42578125" style="83"/>
  </cols>
  <sheetData>
    <row r="1" spans="1:29" ht="24" customHeight="1" x14ac:dyDescent="0.3">
      <c r="B1" s="186" t="s">
        <v>246</v>
      </c>
      <c r="C1" s="175" t="s">
        <v>234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29" ht="26.25" customHeight="1" x14ac:dyDescent="0.3">
      <c r="B2" s="187" t="s">
        <v>247</v>
      </c>
      <c r="C2" s="175" t="s">
        <v>238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29" ht="17.25" customHeight="1" x14ac:dyDescent="0.3">
      <c r="B3" s="187" t="s">
        <v>241</v>
      </c>
      <c r="C3" s="175" t="s">
        <v>235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29" ht="17.100000000000001" customHeight="1" x14ac:dyDescent="0.3">
      <c r="B4" s="187" t="s">
        <v>242</v>
      </c>
      <c r="C4" s="175" t="s">
        <v>239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29" ht="15" customHeight="1" x14ac:dyDescent="0.3">
      <c r="B5" s="186" t="s">
        <v>243</v>
      </c>
      <c r="C5" s="175" t="s">
        <v>236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29" ht="27.75" customHeight="1" x14ac:dyDescent="0.3">
      <c r="B6" s="186" t="s">
        <v>244</v>
      </c>
      <c r="C6" s="176" t="s">
        <v>237</v>
      </c>
      <c r="D6" s="87"/>
      <c r="E6" s="87"/>
      <c r="F6" s="87"/>
      <c r="G6" s="87"/>
      <c r="H6" s="87"/>
      <c r="I6" s="87"/>
      <c r="J6" s="177"/>
      <c r="K6" s="87"/>
      <c r="L6" s="87"/>
      <c r="M6" s="87"/>
      <c r="N6" s="87"/>
      <c r="O6" s="87"/>
      <c r="P6" s="87"/>
    </row>
    <row r="7" spans="1:29" ht="20.25" customHeight="1" x14ac:dyDescent="0.25">
      <c r="B7" s="188" t="s">
        <v>245</v>
      </c>
      <c r="C7" s="87"/>
      <c r="D7" s="87"/>
      <c r="E7" s="87"/>
      <c r="F7" s="87"/>
      <c r="G7" s="178"/>
      <c r="H7" s="87"/>
      <c r="I7" s="87"/>
      <c r="J7" s="87"/>
      <c r="K7" s="87"/>
      <c r="L7" s="87"/>
      <c r="M7" s="87"/>
      <c r="N7" s="87"/>
      <c r="O7" s="87"/>
      <c r="P7" s="87"/>
    </row>
    <row r="8" spans="1:29" ht="9.75" customHeight="1" x14ac:dyDescent="0.25">
      <c r="B8" s="94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1:29" ht="35.25" customHeight="1" x14ac:dyDescent="0.25">
      <c r="C9" s="87"/>
      <c r="D9" s="87"/>
      <c r="E9" s="179"/>
      <c r="F9" s="87"/>
      <c r="G9" s="180"/>
      <c r="H9" s="87"/>
      <c r="I9" s="87"/>
      <c r="J9" s="87"/>
      <c r="K9" s="181"/>
      <c r="L9" s="181"/>
      <c r="M9" s="181"/>
      <c r="N9" s="87"/>
      <c r="O9" s="87"/>
      <c r="P9" s="87"/>
      <c r="Q9" s="87"/>
      <c r="R9" s="87"/>
      <c r="S9" s="88"/>
      <c r="W9" s="141"/>
      <c r="X9" s="141"/>
      <c r="Y9" s="141"/>
      <c r="Z9" s="141"/>
      <c r="AA9" s="141"/>
      <c r="AB9" s="141"/>
      <c r="AC9" s="141"/>
    </row>
    <row r="10" spans="1:29" ht="15" customHeight="1" x14ac:dyDescent="0.25">
      <c r="B10" s="84" t="s">
        <v>185</v>
      </c>
      <c r="C10" s="1"/>
      <c r="D10" s="85" t="s">
        <v>23</v>
      </c>
      <c r="E10" s="170"/>
      <c r="F10" s="4" t="str">
        <f>IF(D16=0,"",IF(E14="","",F60))</f>
        <v/>
      </c>
      <c r="G10" s="11"/>
      <c r="H10" s="191" t="str">
        <f>IF(D16=0,"",IF(F16=0,"",H60))</f>
        <v/>
      </c>
      <c r="I10" s="192"/>
      <c r="J10" s="192"/>
      <c r="K10" s="192"/>
      <c r="L10" s="193"/>
      <c r="N10" s="86" t="str">
        <f>"Equivalences numériques               CIE 2°  illuminant  D65"</f>
        <v>Equivalences numériques               CIE 2°  illuminant  D65</v>
      </c>
      <c r="P10" s="87"/>
      <c r="Q10" s="87"/>
      <c r="R10" s="87"/>
      <c r="S10" s="88"/>
      <c r="T10" s="89"/>
      <c r="U10" s="89"/>
      <c r="V10" s="89"/>
      <c r="W10" s="89"/>
    </row>
    <row r="11" spans="1:29" ht="15" customHeight="1" x14ac:dyDescent="0.25">
      <c r="B11" s="90" t="s">
        <v>199</v>
      </c>
      <c r="C11" s="91"/>
      <c r="D11" s="85" t="s">
        <v>24</v>
      </c>
      <c r="E11" s="170"/>
      <c r="F11" s="4" t="str">
        <f>IF(D16=0,"",IF(E14="","",F61))</f>
        <v/>
      </c>
      <c r="G11" s="13" t="str">
        <f>IF(D16=0,"",G61)</f>
        <v/>
      </c>
      <c r="H11" s="92" t="str">
        <f t="shared" ref="H11:H14" si="0">IF($D$16=0,"",IF($F$16=0,"",H61))</f>
        <v/>
      </c>
      <c r="I11" s="5"/>
      <c r="J11" s="5"/>
      <c r="K11" s="6" t="str">
        <f>IF($D$16=0,"",IF($F$16=0,"",K61))</f>
        <v/>
      </c>
      <c r="L11" s="93" t="str">
        <f>IF($D$16=0,"",IF($F$16=0,"",L61))</f>
        <v/>
      </c>
      <c r="M11" s="94"/>
      <c r="N11" s="95" t="s">
        <v>201</v>
      </c>
      <c r="O11" s="96" t="s">
        <v>202</v>
      </c>
      <c r="P11" s="96" t="s">
        <v>203</v>
      </c>
      <c r="Q11" s="96" t="s">
        <v>200</v>
      </c>
      <c r="R11" s="97" t="s">
        <v>204</v>
      </c>
      <c r="S11" s="98"/>
      <c r="T11" s="89"/>
      <c r="U11" s="89"/>
      <c r="V11" s="89"/>
      <c r="W11" s="89"/>
    </row>
    <row r="12" spans="1:29" ht="15" customHeight="1" x14ac:dyDescent="0.25">
      <c r="B12" s="99" t="s">
        <v>240</v>
      </c>
      <c r="C12" s="100"/>
      <c r="D12" s="85" t="s">
        <v>25</v>
      </c>
      <c r="E12" s="170"/>
      <c r="F12" s="4" t="str">
        <f>IF(D16=0,"",IF(E14="","",F62))</f>
        <v/>
      </c>
      <c r="G12" s="14" t="str">
        <f>IF(D16=0,"",G62)</f>
        <v/>
      </c>
      <c r="H12" s="101" t="str">
        <f t="shared" si="0"/>
        <v/>
      </c>
      <c r="I12" s="2"/>
      <c r="J12" s="2"/>
      <c r="K12" s="2"/>
      <c r="L12" s="7"/>
      <c r="M12" s="94"/>
      <c r="N12" s="102" t="str">
        <f>IF($D$16=0,"",IF($F$16=0,"",N62))</f>
        <v/>
      </c>
      <c r="O12" s="103" t="str">
        <f>IF($D$16=0,"",IF($F$16=0,"",O62))</f>
        <v/>
      </c>
      <c r="P12" s="103" t="str">
        <f>IF($D$16=0,"",IF($F$16=0,"",P62))</f>
        <v/>
      </c>
      <c r="Q12" s="104" t="str">
        <f>IF($D$16=0,"",IF($F$16=0,"",IF(N12+O12+P12&lt;0.0001,"",Q62)))</f>
        <v/>
      </c>
      <c r="R12" s="105" t="str">
        <f>IF($D$16=0,"",IF($F$16=0,"",IF(N12+O12+P12&lt;0.0001,"",R62)))</f>
        <v/>
      </c>
      <c r="S12" s="98"/>
      <c r="T12" s="89"/>
      <c r="U12" s="89"/>
      <c r="V12" s="89"/>
      <c r="W12" s="89"/>
    </row>
    <row r="13" spans="1:29" ht="15" customHeight="1" x14ac:dyDescent="0.25">
      <c r="A13" s="87"/>
      <c r="B13" s="99"/>
      <c r="C13" s="106"/>
      <c r="D13" s="12"/>
      <c r="E13" s="107" t="str">
        <f>IF(E14="","Entrez  vos  données",IF(E12="","Entrez  vos  données",IF(E11="","Entrez  vos  données",IF(E10="","Entrez  vos  données",""))))</f>
        <v>Entrez  vos  données</v>
      </c>
      <c r="F13" s="12"/>
      <c r="G13" s="12"/>
      <c r="H13" s="108" t="str">
        <f t="shared" si="0"/>
        <v/>
      </c>
      <c r="I13" s="3"/>
      <c r="J13" s="3"/>
      <c r="K13" s="3"/>
      <c r="L13" s="8"/>
      <c r="M13" s="16"/>
      <c r="N13" s="109" t="s">
        <v>193</v>
      </c>
      <c r="O13" s="110" t="s">
        <v>205</v>
      </c>
      <c r="P13" s="110" t="s">
        <v>206</v>
      </c>
      <c r="Q13" s="110" t="s">
        <v>226</v>
      </c>
      <c r="R13" s="111" t="s">
        <v>224</v>
      </c>
      <c r="S13" s="98"/>
      <c r="T13" s="89"/>
      <c r="U13" s="89"/>
      <c r="V13" s="89"/>
      <c r="W13" s="89"/>
    </row>
    <row r="14" spans="1:29" ht="15" customHeight="1" x14ac:dyDescent="0.25">
      <c r="B14" s="112" t="s">
        <v>186</v>
      </c>
      <c r="C14" s="194" t="s">
        <v>190</v>
      </c>
      <c r="D14" s="195"/>
      <c r="E14" s="171"/>
      <c r="F14" s="113" t="str">
        <f>IF(E14="","",IF(E14="XYZ","",IF(E14="Yxy","",IF(E14="Lab","",IF(E14="LChab","",IF(E14="Luv","",IF(E14="Lchuv","",IF(E14="Lshuv","","  Code  incorrect"))))))))</f>
        <v/>
      </c>
      <c r="G14" s="12"/>
      <c r="H14" s="108" t="str">
        <f t="shared" si="0"/>
        <v/>
      </c>
      <c r="I14" s="3"/>
      <c r="J14" s="3"/>
      <c r="K14" s="3"/>
      <c r="L14" s="8"/>
      <c r="M14" s="16"/>
      <c r="N14" s="102" t="str">
        <f>IF($D$16=0,"",IF($F$16=0,"",N64))</f>
        <v/>
      </c>
      <c r="O14" s="103" t="str">
        <f>IF($D$16=0,"",IF($F$16=0,"",O64))</f>
        <v/>
      </c>
      <c r="P14" s="103" t="str">
        <f>IF($D$16=0,"",IF($F$16=0,"",P64))</f>
        <v/>
      </c>
      <c r="Q14" s="103" t="str">
        <f>IF($D$16=0,"",IF($F$16=0,"",Q64))</f>
        <v/>
      </c>
      <c r="R14" s="114" t="str">
        <f>IF($D$16=0,"",IF($F$16=0,"",R64))</f>
        <v/>
      </c>
      <c r="S14" s="98"/>
      <c r="T14" s="115"/>
      <c r="U14" s="89"/>
      <c r="V14" s="89"/>
      <c r="W14" s="89"/>
    </row>
    <row r="15" spans="1:29" ht="15" customHeight="1" x14ac:dyDescent="0.25">
      <c r="A15" s="116"/>
      <c r="B15" s="112" t="s">
        <v>188</v>
      </c>
      <c r="C15" s="117"/>
      <c r="D15" s="118"/>
      <c r="E15" s="119"/>
      <c r="F15" s="120"/>
      <c r="G15" s="121"/>
      <c r="H15" s="108"/>
      <c r="I15" s="3"/>
      <c r="J15" s="3"/>
      <c r="K15" s="3"/>
      <c r="L15" s="8"/>
      <c r="M15" s="1"/>
      <c r="N15" s="95" t="s">
        <v>193</v>
      </c>
      <c r="O15" s="96" t="s">
        <v>207</v>
      </c>
      <c r="P15" s="96" t="s">
        <v>208</v>
      </c>
      <c r="Q15" s="96" t="s">
        <v>227</v>
      </c>
      <c r="R15" s="97" t="s">
        <v>225</v>
      </c>
      <c r="S15" s="98"/>
      <c r="T15" s="89"/>
      <c r="U15" s="89"/>
      <c r="V15" s="89"/>
      <c r="W15" s="89"/>
    </row>
    <row r="16" spans="1:29" ht="15" customHeight="1" x14ac:dyDescent="0.25">
      <c r="A16" s="116"/>
      <c r="B16" s="112" t="s">
        <v>189</v>
      </c>
      <c r="C16" s="122"/>
      <c r="D16" s="173">
        <f>IF(E13="Entrez  vos  données",0,IF(F14="  Code  incorrect",0,1))</f>
        <v>0</v>
      </c>
      <c r="E16" s="123"/>
      <c r="F16" s="173">
        <f>F66</f>
        <v>1</v>
      </c>
      <c r="G16" s="15"/>
      <c r="H16" s="124" t="str">
        <f>IF($D$16=0,"",IF($F$16=0,H66,""))</f>
        <v/>
      </c>
      <c r="I16" s="9"/>
      <c r="J16" s="9"/>
      <c r="K16" s="9"/>
      <c r="L16" s="10"/>
      <c r="M16" s="1"/>
      <c r="N16" s="102" t="str">
        <f>IF($D$16=0,"",IF($F$16=0,"",N66))</f>
        <v/>
      </c>
      <c r="O16" s="103" t="str">
        <f>IF($D$16=0,"",IF($F$16=0,"",O66))</f>
        <v/>
      </c>
      <c r="P16" s="103" t="str">
        <f>IF($D$16=0,"",IF($F$16=0,"",P66))</f>
        <v/>
      </c>
      <c r="Q16" s="103" t="str">
        <f>IF($D$16=0,"",IF($F$16=0,"",Q66))</f>
        <v/>
      </c>
      <c r="R16" s="114" t="str">
        <f>IF($D$16=0,"",IF($F$16=0,"",R66))</f>
        <v/>
      </c>
      <c r="S16" s="125"/>
      <c r="T16" s="115"/>
      <c r="U16" s="89"/>
      <c r="V16" s="89"/>
      <c r="W16" s="89"/>
    </row>
    <row r="17" spans="1:24" ht="15" customHeight="1" x14ac:dyDescent="0.25">
      <c r="A17" s="116"/>
      <c r="B17" s="88"/>
      <c r="C17" s="106"/>
      <c r="D17" s="121"/>
      <c r="E17" s="126"/>
      <c r="F17" s="126"/>
      <c r="G17" s="126"/>
      <c r="K17" s="1"/>
      <c r="L17" s="1"/>
      <c r="M17" s="1"/>
      <c r="S17" s="98"/>
      <c r="T17" s="89"/>
      <c r="U17" s="89"/>
      <c r="V17" s="89"/>
      <c r="W17" s="89"/>
      <c r="X17" s="89"/>
    </row>
    <row r="18" spans="1:24" ht="15" customHeight="1" x14ac:dyDescent="0.25">
      <c r="B18" s="112" t="s">
        <v>216</v>
      </c>
      <c r="C18" s="100"/>
      <c r="D18" s="127" t="str">
        <f>IF($D$16=0,"",IF($F$16=0,"",D68))</f>
        <v/>
      </c>
      <c r="E18" s="128"/>
      <c r="F18" s="128"/>
      <c r="G18" s="129" t="str">
        <f>IF($D$16=0,"",IF($F$16=0,"",G68))</f>
        <v/>
      </c>
      <c r="H18" s="190" t="str">
        <f>IF($D$16=0,"",IF($F$16=0,"",H68))</f>
        <v/>
      </c>
      <c r="I18" s="190"/>
      <c r="J18" s="172"/>
      <c r="K18" s="130" t="str">
        <f>IF($D$16=0,"",IF($F$16=0,"",K68))</f>
        <v/>
      </c>
      <c r="L18" s="172" t="str">
        <f>IF($D$16=0,"",IF($F$16=0,"",L68))</f>
        <v/>
      </c>
      <c r="M18" s="128"/>
      <c r="N18" s="172" t="str">
        <f>IF($D$16=0,"",IF($F$16=0,"",N68))</f>
        <v/>
      </c>
      <c r="O18" s="128"/>
      <c r="P18" s="128"/>
      <c r="Q18" s="131" t="str">
        <f>IF($D$16=0,"",IF($F$16=0,"",Q68))</f>
        <v/>
      </c>
      <c r="R18" s="132"/>
      <c r="S18" s="98"/>
      <c r="T18" s="89"/>
      <c r="U18" s="89"/>
      <c r="V18" s="89"/>
      <c r="W18" s="89"/>
      <c r="X18" s="89"/>
    </row>
    <row r="19" spans="1:24" ht="15" customHeight="1" x14ac:dyDescent="0.25">
      <c r="A19" s="116"/>
      <c r="B19" s="112" t="s">
        <v>221</v>
      </c>
      <c r="C19" s="133"/>
      <c r="D19" s="87"/>
      <c r="P19" s="87"/>
      <c r="Q19" s="87"/>
      <c r="R19" s="87"/>
      <c r="S19" s="98"/>
      <c r="T19" s="134"/>
      <c r="U19" s="89"/>
      <c r="V19" s="89"/>
      <c r="W19" s="89"/>
      <c r="X19" s="89"/>
    </row>
    <row r="20" spans="1:24" ht="15" customHeight="1" x14ac:dyDescent="0.25">
      <c r="A20" s="116" t="s">
        <v>214</v>
      </c>
      <c r="C20" s="133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185" t="str">
        <f>IF($D$16=0,"",IF($F$16=0,"",R70))</f>
        <v/>
      </c>
      <c r="S20" s="98"/>
      <c r="T20" s="134"/>
      <c r="U20" s="89"/>
      <c r="V20" s="89"/>
      <c r="W20" s="89"/>
      <c r="X20" s="89"/>
    </row>
    <row r="21" spans="1:24" ht="15" customHeight="1" x14ac:dyDescent="0.25">
      <c r="B21" s="112"/>
      <c r="C21" s="133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98"/>
      <c r="T21" s="89"/>
      <c r="U21" s="89"/>
      <c r="V21" s="89"/>
      <c r="W21" s="89"/>
      <c r="X21" s="89"/>
    </row>
    <row r="22" spans="1:24" ht="15" customHeight="1" x14ac:dyDescent="0.25">
      <c r="A22" s="135"/>
      <c r="B22" s="136" t="s">
        <v>184</v>
      </c>
      <c r="C22" s="133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98"/>
      <c r="T22" s="89"/>
      <c r="U22" s="89"/>
      <c r="V22" s="89"/>
      <c r="W22" s="89"/>
      <c r="X22" s="89"/>
    </row>
    <row r="23" spans="1:24" ht="15" customHeight="1" x14ac:dyDescent="0.3">
      <c r="A23" s="137" t="s">
        <v>18</v>
      </c>
      <c r="B23" s="112" t="s">
        <v>217</v>
      </c>
      <c r="C23" s="133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38"/>
      <c r="S23" s="88"/>
    </row>
    <row r="24" spans="1:24" ht="15" customHeight="1" x14ac:dyDescent="0.25">
      <c r="A24" s="137" t="s">
        <v>19</v>
      </c>
      <c r="B24" s="112" t="s">
        <v>218</v>
      </c>
      <c r="C24" s="133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V24" s="139"/>
    </row>
    <row r="25" spans="1:24" ht="15" customHeight="1" x14ac:dyDescent="0.25">
      <c r="A25" s="137" t="s">
        <v>20</v>
      </c>
      <c r="B25" s="112" t="s">
        <v>219</v>
      </c>
      <c r="C25" s="13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V25" s="139"/>
    </row>
    <row r="26" spans="1:24" ht="15" customHeight="1" x14ac:dyDescent="0.25">
      <c r="A26" s="137" t="s">
        <v>21</v>
      </c>
      <c r="B26" s="112" t="s">
        <v>220</v>
      </c>
      <c r="C26" s="133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140"/>
      <c r="S26" s="88"/>
      <c r="V26" s="139"/>
      <c r="W26" s="141"/>
    </row>
    <row r="27" spans="1:24" ht="15" customHeight="1" x14ac:dyDescent="0.25">
      <c r="A27" s="137" t="s">
        <v>22</v>
      </c>
      <c r="B27" s="112" t="s">
        <v>223</v>
      </c>
      <c r="C27" s="13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8"/>
      <c r="W27" s="141"/>
    </row>
    <row r="28" spans="1:24" ht="15" customHeight="1" x14ac:dyDescent="0.25">
      <c r="A28" s="112" t="s">
        <v>215</v>
      </c>
      <c r="C28" s="133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8"/>
      <c r="V28" s="139"/>
      <c r="W28" s="141"/>
    </row>
    <row r="29" spans="1:24" ht="15" customHeight="1" x14ac:dyDescent="0.3">
      <c r="A29" s="137"/>
      <c r="B29" s="112" t="s">
        <v>191</v>
      </c>
      <c r="C29" s="133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142"/>
      <c r="S29" s="88"/>
      <c r="V29" s="139"/>
      <c r="W29" s="141"/>
    </row>
    <row r="30" spans="1:24" ht="15" customHeight="1" x14ac:dyDescent="0.25">
      <c r="B30" s="143"/>
      <c r="C30" s="133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8"/>
      <c r="V30" s="139"/>
      <c r="W30" s="141"/>
    </row>
    <row r="31" spans="1:24" ht="15" customHeight="1" x14ac:dyDescent="0.25">
      <c r="A31" s="137" t="s">
        <v>160</v>
      </c>
      <c r="B31" s="112" t="s">
        <v>187</v>
      </c>
      <c r="C31" s="133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8"/>
      <c r="W31" s="141"/>
    </row>
    <row r="32" spans="1:24" ht="15" customHeight="1" x14ac:dyDescent="0.25">
      <c r="B32" s="144" t="s">
        <v>198</v>
      </c>
      <c r="C32" s="133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8"/>
      <c r="V32" s="139"/>
      <c r="W32" s="141"/>
    </row>
    <row r="33" spans="2:23" ht="15" customHeight="1" x14ac:dyDescent="0.25">
      <c r="B33" s="144" t="s">
        <v>192</v>
      </c>
      <c r="C33" s="133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8"/>
      <c r="V33" s="139"/>
      <c r="W33" s="141"/>
    </row>
    <row r="34" spans="2:23" ht="15" customHeight="1" x14ac:dyDescent="0.25">
      <c r="B34" s="144" t="s">
        <v>195</v>
      </c>
      <c r="C34" s="133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  <c r="V34" s="139"/>
      <c r="W34" s="141"/>
    </row>
    <row r="35" spans="2:23" ht="15" customHeight="1" x14ac:dyDescent="0.25">
      <c r="B35" s="112" t="s">
        <v>197</v>
      </c>
      <c r="C35" s="133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8"/>
      <c r="W35" s="141"/>
    </row>
    <row r="36" spans="2:23" ht="15" customHeight="1" x14ac:dyDescent="0.25">
      <c r="C36" s="133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8"/>
      <c r="W36" s="141"/>
    </row>
    <row r="37" spans="2:23" ht="15" customHeight="1" x14ac:dyDescent="0.25">
      <c r="C37" s="133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8"/>
      <c r="W37" s="141"/>
    </row>
    <row r="38" spans="2:23" ht="15" customHeight="1" x14ac:dyDescent="0.25">
      <c r="C38" s="133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8"/>
      <c r="W38" s="141"/>
    </row>
    <row r="39" spans="2:23" ht="15" customHeight="1" x14ac:dyDescent="0.25">
      <c r="B39" s="88"/>
      <c r="C39" s="133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8"/>
      <c r="W39" s="141"/>
    </row>
    <row r="40" spans="2:23" ht="15" customHeight="1" x14ac:dyDescent="0.25">
      <c r="B40" s="88"/>
      <c r="C40" s="133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8"/>
      <c r="W40" s="141"/>
    </row>
    <row r="41" spans="2:23" ht="15" customHeight="1" x14ac:dyDescent="0.25">
      <c r="B41" s="88"/>
      <c r="C41" s="133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8"/>
      <c r="W41" s="141"/>
    </row>
    <row r="42" spans="2:23" ht="15" customHeight="1" x14ac:dyDescent="0.25">
      <c r="B42" s="88"/>
      <c r="C42" s="133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8"/>
      <c r="W42" s="141"/>
    </row>
    <row r="43" spans="2:23" ht="15" customHeight="1" x14ac:dyDescent="0.25">
      <c r="B43" s="88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7"/>
      <c r="W43" s="141"/>
    </row>
    <row r="44" spans="2:23" ht="14.85" customHeight="1" x14ac:dyDescent="0.25">
      <c r="W44" s="141"/>
    </row>
    <row r="45" spans="2:23" ht="14.85" customHeight="1" x14ac:dyDescent="0.25">
      <c r="W45" s="141"/>
    </row>
    <row r="46" spans="2:23" ht="14.85" customHeight="1" x14ac:dyDescent="0.25">
      <c r="W46" s="141"/>
    </row>
    <row r="47" spans="2:23" x14ac:dyDescent="0.25">
      <c r="W47" s="141"/>
    </row>
    <row r="48" spans="2:23" x14ac:dyDescent="0.25">
      <c r="W48" s="141"/>
    </row>
    <row r="49" spans="3:31" ht="18.75" x14ac:dyDescent="0.3">
      <c r="D49" s="148"/>
      <c r="E49" s="148"/>
      <c r="W49" s="141"/>
    </row>
    <row r="50" spans="3:31" ht="18.75" x14ac:dyDescent="0.3">
      <c r="D50" s="148"/>
      <c r="E50" s="148"/>
      <c r="W50" s="141"/>
    </row>
    <row r="51" spans="3:31" ht="16.5" customHeight="1" x14ac:dyDescent="0.3">
      <c r="D51" s="148"/>
      <c r="E51" s="14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3:31" x14ac:dyDescent="0.25"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spans="3:31" x14ac:dyDescent="0.25"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3:31" x14ac:dyDescent="0.25"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3:31" x14ac:dyDescent="0.25"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AB55" s="182"/>
      <c r="AC55" s="141"/>
      <c r="AD55" s="141"/>
      <c r="AE55" s="141"/>
    </row>
    <row r="56" spans="3:31" x14ac:dyDescent="0.25">
      <c r="C56" s="23"/>
      <c r="D56" s="23"/>
      <c r="E56" s="23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23"/>
      <c r="Z56" s="23"/>
      <c r="AB56" s="141"/>
      <c r="AC56" s="141"/>
      <c r="AD56" s="141"/>
      <c r="AE56" s="141"/>
    </row>
    <row r="57" spans="3:31" x14ac:dyDescent="0.2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B57" s="141"/>
      <c r="AC57" s="141"/>
      <c r="AD57" s="141"/>
      <c r="AE57" s="141"/>
    </row>
    <row r="58" spans="3:31" x14ac:dyDescent="0.25">
      <c r="C58" s="23"/>
      <c r="D58" s="23"/>
      <c r="E58" s="23"/>
      <c r="F58" s="23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23"/>
      <c r="T58" s="23"/>
      <c r="U58" s="23"/>
      <c r="V58" s="23"/>
      <c r="W58" s="23"/>
      <c r="X58" s="23"/>
      <c r="Y58" s="23"/>
      <c r="Z58" s="23"/>
      <c r="AB58" s="141"/>
      <c r="AC58" s="141"/>
      <c r="AD58" s="141"/>
      <c r="AE58" s="141"/>
    </row>
    <row r="59" spans="3:31" x14ac:dyDescent="0.25">
      <c r="C59" s="23"/>
      <c r="D59" s="23"/>
      <c r="E59" s="23"/>
      <c r="F59" s="23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23"/>
      <c r="T59" s="23"/>
      <c r="U59" s="23"/>
      <c r="V59" s="23"/>
      <c r="W59" s="23"/>
      <c r="X59" s="23"/>
      <c r="Y59" s="23"/>
      <c r="Z59" s="23"/>
      <c r="AB59" s="141"/>
      <c r="AC59" s="141"/>
      <c r="AD59" s="141"/>
      <c r="AE59" s="141"/>
    </row>
    <row r="60" spans="3:31" ht="15.75" x14ac:dyDescent="0.25">
      <c r="C60" s="25"/>
      <c r="D60" s="150"/>
      <c r="E60" s="151">
        <f>IF(E10=0,0.000001,E10)</f>
        <v>9.9999999999999995E-7</v>
      </c>
      <c r="F60" s="19" t="str">
        <f>IF(D65=1,"    X",(IF(D65=2,"    Y",IF(D65&gt;2,"    L* ",""))))</f>
        <v xml:space="preserve">    L* </v>
      </c>
      <c r="G60" s="20" t="str">
        <f>IF($D65=1,E61,IF($D65=2,E60,""))</f>
        <v/>
      </c>
      <c r="H60" s="196" t="str">
        <f>IF(D66*F66=0,"",('F2'!B26)&amp;('F2'!B29)&amp;('F2'!B32))</f>
        <v xml:space="preserve">NOIR         </v>
      </c>
      <c r="I60" s="196"/>
      <c r="J60" s="196"/>
      <c r="K60" s="196"/>
      <c r="L60" s="196"/>
      <c r="M60" s="23"/>
      <c r="N60" s="152" t="s">
        <v>213</v>
      </c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B60" s="141"/>
      <c r="AC60" s="141"/>
      <c r="AD60" s="141"/>
      <c r="AE60" s="141"/>
    </row>
    <row r="61" spans="3:31" ht="15.75" x14ac:dyDescent="0.25">
      <c r="C61" s="25"/>
      <c r="D61" s="150"/>
      <c r="E61" s="20">
        <f>IF(E11=0,0.000001,E11)</f>
        <v>9.9999999999999995E-7</v>
      </c>
      <c r="F61" s="19" t="str">
        <f>IF(D65=1,"Y",IF(D65=2,"x",IF(D65=3,"a*",IF(D65=4,"C*",IF(D65=5,"u* ",IF(D65=6,"C*",IF(D65=7,"S   ","")))))))</f>
        <v xml:space="preserve">u* </v>
      </c>
      <c r="G61" s="21" t="str">
        <f>IF(D65=4,"ab",IF(D65=6,"uv",""))</f>
        <v/>
      </c>
      <c r="H61" s="22" t="str">
        <f>IF(D66*F66*S66*('F2'!E39-1)=0,"",IF((T66-5.1)*(T66-277.99999)&lt;=0,"     Longueur d'onde dominante","   Longueur d'onde complémentaire"))</f>
        <v/>
      </c>
      <c r="I61" s="23"/>
      <c r="J61" s="23"/>
      <c r="K61" s="24" t="str">
        <f>IF(F66*S66*('F2'!E39-1)=0,"",IF('F3'!E11=2,"700",IF('F3'!E11=3,"400",IF('F3'!E11=4,"380",IF('F3'!E11=5,"690",IF('F3'!E11=6,"390",'F3'!D11))))))</f>
        <v/>
      </c>
      <c r="L61" s="25" t="str">
        <f>IF(D66*F66*S66*('F2'!E39-1)=0,"","  nm")</f>
        <v/>
      </c>
      <c r="M61" s="23"/>
      <c r="N61" s="153" t="s">
        <v>201</v>
      </c>
      <c r="O61" s="153" t="s">
        <v>202</v>
      </c>
      <c r="P61" s="153" t="s">
        <v>203</v>
      </c>
      <c r="Q61" s="153" t="s">
        <v>200</v>
      </c>
      <c r="R61" s="153" t="s">
        <v>204</v>
      </c>
      <c r="S61" s="23"/>
      <c r="T61" s="23"/>
      <c r="U61" s="154"/>
      <c r="V61" s="155">
        <f>IF(W61&gt;6/29,95.04*W61^3,95.04*(108/841)*(W61-4/29))</f>
        <v>-4.7788374501252044E-7</v>
      </c>
      <c r="W61" s="155">
        <f>O64/500+(N66+16)/116</f>
        <v>0.13793099532768263</v>
      </c>
      <c r="X61" s="23"/>
      <c r="Y61" s="23"/>
      <c r="Z61" s="23"/>
      <c r="AB61" s="141"/>
      <c r="AC61" s="141"/>
      <c r="AD61" s="141"/>
      <c r="AE61" s="141"/>
    </row>
    <row r="62" spans="3:31" ht="15.75" x14ac:dyDescent="0.25">
      <c r="C62" s="23"/>
      <c r="D62" s="150"/>
      <c r="E62" s="20">
        <f>IF(E12=0,0.000001,E12)</f>
        <v>9.9999999999999995E-7</v>
      </c>
      <c r="F62" s="19" t="str">
        <f>IF(D65=1,"Z",IF(D65=2,"y",IF(D65=3,"b*",IF(D65=4,"h  ",IF(D65=5,"v* ",IF(D65&gt;5,"h   "))))))</f>
        <v xml:space="preserve">v* </v>
      </c>
      <c r="G62" s="25" t="str">
        <f>IF(D65=4,"ab",IF(D65&gt;5,"uv",""))</f>
        <v/>
      </c>
      <c r="H62" s="25" t="str">
        <f>IF('F3'!E11&gt;0,"      Valeur imprécise pour ce domaine de teinte","")</f>
        <v/>
      </c>
      <c r="I62" s="23"/>
      <c r="J62" s="23"/>
      <c r="K62" s="23"/>
      <c r="L62" s="23"/>
      <c r="M62" s="23"/>
      <c r="N62" s="156">
        <f>IF(D65=1,E60,IF(D65=2,E60*E61/E62,IF((D65-3)*(D65-4)=0,V61,2.25*O62*(O66+13*N66*0.197832)/(P66+13*N66*0.46834))))</f>
        <v>1.25513414377995E-7</v>
      </c>
      <c r="O62" s="156">
        <f>IF(D65=1,E61,IF(D65=2,E60,IF(E60&lt;8,E60/9.033,100*((E60+16)/116)^3)))</f>
        <v>1.1070519207350825E-7</v>
      </c>
      <c r="P62" s="156">
        <f>IF(D65=1,E62,IF(D65=2,E60*(1-Q62-R62)/E62,IF((D65-3)*(D65-4)=0,V62,O62*(39*N66/(P66+0.46834*13*N66)-5)-N62/3)))</f>
        <v>1.3728598281410187E-8</v>
      </c>
      <c r="Q62" s="157">
        <f>IF(D65=2,E61,N62/(N62+O62+P62))</f>
        <v>0.50215970413477962</v>
      </c>
      <c r="R62" s="157">
        <f>IF(D65=2,E62,O62/(N62+O62+P62))</f>
        <v>0.44291430340981297</v>
      </c>
      <c r="S62" s="23"/>
      <c r="T62" s="23"/>
      <c r="U62" s="154"/>
      <c r="V62" s="155">
        <f>IF(W62&gt;6/29,108.88*W62^3,108.88*(108/841)*(W62-4/29))</f>
        <v>3.0003565005319035E-6</v>
      </c>
      <c r="W62" s="158">
        <f>(N66+16)/116-P64/200</f>
        <v>0.13793124906658663</v>
      </c>
      <c r="X62" s="23"/>
      <c r="Y62" s="23"/>
      <c r="Z62" s="23"/>
      <c r="AB62" s="141"/>
      <c r="AC62" s="141"/>
      <c r="AD62" s="141"/>
      <c r="AE62" s="141"/>
    </row>
    <row r="63" spans="3:31" ht="15.75" x14ac:dyDescent="0.25">
      <c r="C63" s="23"/>
      <c r="D63" s="25"/>
      <c r="E63" s="151"/>
      <c r="F63" s="25"/>
      <c r="G63" s="25"/>
      <c r="H63" s="25" t="str">
        <f>IF(Q68&gt;8,"       La saturation dépasse la limite d'évaluation","")</f>
        <v/>
      </c>
      <c r="I63" s="25"/>
      <c r="J63" s="25"/>
      <c r="K63" s="25"/>
      <c r="L63" s="25"/>
      <c r="M63" s="25"/>
      <c r="N63" s="153" t="s">
        <v>193</v>
      </c>
      <c r="O63" s="153" t="s">
        <v>205</v>
      </c>
      <c r="P63" s="153" t="s">
        <v>206</v>
      </c>
      <c r="Q63" s="153" t="s">
        <v>209</v>
      </c>
      <c r="R63" s="153" t="s">
        <v>211</v>
      </c>
      <c r="S63" s="23"/>
      <c r="T63" s="23"/>
      <c r="U63" s="154"/>
      <c r="V63" s="155">
        <f>(N62-0.0000044758)/95.04</f>
        <v>-4.5773217441308978E-8</v>
      </c>
      <c r="W63" s="159">
        <f>IF(V63&lt;0.008856,0,1)</f>
        <v>0</v>
      </c>
      <c r="X63" s="155">
        <f>IF(W63=0,903.3*V63,116*V63^(1/3)-16)</f>
        <v>-4.1346947314734401E-5</v>
      </c>
      <c r="Y63" s="23"/>
      <c r="Z63" s="23"/>
      <c r="AB63" s="141"/>
      <c r="AC63" s="141"/>
      <c r="AD63" s="141"/>
      <c r="AE63" s="141"/>
    </row>
    <row r="64" spans="3:31" ht="15.75" x14ac:dyDescent="0.25">
      <c r="C64" s="197"/>
      <c r="D64" s="197"/>
      <c r="E64" s="151" t="str">
        <f>IF(E14="","Luv",IF(F14="  Code  incorrect","Luv",E14))</f>
        <v>Luv</v>
      </c>
      <c r="F64" s="160" t="str">
        <f>IF(E64="","  Code absent",IF(E64="XYZ","",IF(E64="Yxy","",IF(E64="Lab","",IF(E64="LChab","",IF(E64="Luv","",IF(E64="Lchuv","",IF(E64="LSHuv","","  Code incorrect"))))))))</f>
        <v/>
      </c>
      <c r="G64" s="25"/>
      <c r="H64" s="25" t="str">
        <f>IF(N66&gt;100-(100-(+'F2'!D35))*Q68/7,"  Détermiantion incertaine pour une couleur fluorescente","")</f>
        <v/>
      </c>
      <c r="I64" s="25"/>
      <c r="J64" s="25"/>
      <c r="K64" s="25"/>
      <c r="L64" s="25"/>
      <c r="M64" s="25"/>
      <c r="N64" s="156">
        <f>N66</f>
        <v>9.9999999999999995E-7</v>
      </c>
      <c r="O64" s="156">
        <f>IF(D65=3,E61,IF(D65=4,Q64*COS(PI()*T64/180),500*(X63-X64)/116))</f>
        <v>-2.3887882822131052E-5</v>
      </c>
      <c r="P64" s="156">
        <f>IF(D65=3,E62,IF(D65=4,Q64*SIN(PI()*T64/180),200*(X64-X65)/116))</f>
        <v>-4.1192627668353593E-5</v>
      </c>
      <c r="Q64" s="156">
        <f>IF(D65=4,E61,SQRT(O64^2+P64^2))</f>
        <v>4.7617890754919771E-5</v>
      </c>
      <c r="R64" s="156" t="str">
        <f>IF(Q66&lt;=0.1,"Indéterminé",T64)</f>
        <v>Indéterminé</v>
      </c>
      <c r="S64" s="23"/>
      <c r="T64" s="73">
        <f>IF(D65=0,"",IF(D65=4,E62,IF(P64=0,90*(1-SIGN(O64)),90*(2-SIGN(P64))-180*(ATAN(O64/P64))/PI())))</f>
        <v>239.89026495267572</v>
      </c>
      <c r="U64" s="154"/>
      <c r="V64" s="155">
        <f>(O62-0.0000040745)/100</f>
        <v>-3.9637948079264917E-8</v>
      </c>
      <c r="W64" s="161">
        <f t="shared" ref="W64:W65" si="1">IF(V64&lt;0.008856,0,1)</f>
        <v>0</v>
      </c>
      <c r="X64" s="155">
        <f t="shared" ref="X64:X65" si="2">IF(W64=0,903.3*V64,116*V64^(1/3)-16)</f>
        <v>-3.5804958499999997E-5</v>
      </c>
      <c r="Y64" s="23"/>
      <c r="Z64" s="23"/>
      <c r="AB64" s="141"/>
      <c r="AC64" s="141"/>
      <c r="AD64" s="141"/>
      <c r="AE64" s="141"/>
    </row>
    <row r="65" spans="3:31" ht="15.75" x14ac:dyDescent="0.25">
      <c r="C65" s="161"/>
      <c r="D65" s="162">
        <f>IF(E64="XYZ",1,IF(E64="Yxy",2,IF(E64="Lab",3,IF(E64="Lchab",4,IF(E64="Luv",5,IF(E64="LChuv",6,IF(E64="LShuv",7,0)))))))</f>
        <v>5</v>
      </c>
      <c r="E65" s="25"/>
      <c r="F65" s="163"/>
      <c r="G65" s="25"/>
      <c r="H65" s="25"/>
      <c r="I65" s="25"/>
      <c r="J65" s="25"/>
      <c r="K65" s="25"/>
      <c r="L65" s="25"/>
      <c r="M65" s="25"/>
      <c r="N65" s="153" t="s">
        <v>193</v>
      </c>
      <c r="O65" s="153" t="s">
        <v>207</v>
      </c>
      <c r="P65" s="153" t="s">
        <v>208</v>
      </c>
      <c r="Q65" s="153" t="s">
        <v>210</v>
      </c>
      <c r="R65" s="153" t="s">
        <v>212</v>
      </c>
      <c r="S65" s="23"/>
      <c r="T65" s="161"/>
      <c r="U65" s="154"/>
      <c r="V65" s="155">
        <f>(P62-0.0000014497)/108.88</f>
        <v>-1.3188569082646859E-8</v>
      </c>
      <c r="W65" s="161">
        <f t="shared" si="1"/>
        <v>0</v>
      </c>
      <c r="X65" s="155">
        <f t="shared" si="2"/>
        <v>-1.1913234452354907E-5</v>
      </c>
      <c r="Y65" s="23"/>
      <c r="Z65" s="23"/>
      <c r="AB65" s="141"/>
      <c r="AC65" s="141"/>
      <c r="AD65" s="141"/>
      <c r="AE65" s="141"/>
    </row>
    <row r="66" spans="3:31" ht="15.75" x14ac:dyDescent="0.25">
      <c r="C66" s="164"/>
      <c r="D66" s="173">
        <v>1</v>
      </c>
      <c r="E66" s="173"/>
      <c r="F66" s="174">
        <f>'F3'!L5</f>
        <v>1</v>
      </c>
      <c r="G66" s="31"/>
      <c r="H66" s="25" t="str">
        <f>IF(F66=0,"       ATTENTION   CES   DONNEES  SONT   INCORRECTES","")</f>
        <v/>
      </c>
      <c r="I66" s="25"/>
      <c r="J66" s="25"/>
      <c r="K66" s="25"/>
      <c r="L66" s="25"/>
      <c r="M66" s="25"/>
      <c r="N66" s="156">
        <f>IF((D65-1)*(D65-2)=0,IF(G60&lt;0.885645,9.03296*G60,116*(G60/100)^(1/3)-16),E60)</f>
        <v>9.9999999999999995E-7</v>
      </c>
      <c r="O66" s="156">
        <f>IF(D65&lt;5,13*N64*(4*N62/(N62+15*O62+3*P62)-0.197832),IF(D65=5,E61,IF(D65=6,E61*COS(E62*PI()/180),IF(D65=7,Q66*COS(PI()*T66/180),""))))</f>
        <v>9.9999999999999995E-7</v>
      </c>
      <c r="P66" s="156">
        <f>IF(D65&lt;5,13*N64*(9*O62/(N62+15*O62+3*P62)-0.46834),IF(D65=5,E62,IF(D65=6,E61*SIN(E62*PI()/180),IF(D65=7,Q66*SIN(PI()*T66/180),""))))</f>
        <v>9.9999999999999995E-7</v>
      </c>
      <c r="Q66" s="156">
        <f>IF(D65=6,E61,IF(D65=7,+'F2'!D9*E61*N66,SQRT(O66^2+P66^2)))</f>
        <v>1.4142135623730949E-6</v>
      </c>
      <c r="R66" s="156" t="str">
        <f>IF(Q66&lt;=0.1,"Indéterminé",T66)</f>
        <v>Indéterminé</v>
      </c>
      <c r="S66" s="161">
        <f>IF(Q66&lt;0.05,0,1)</f>
        <v>0</v>
      </c>
      <c r="T66" s="73">
        <f>IF(D65=0,"",IF(D65=6,E62,IF(D65=7,E62,IF(P66=0,90*(1-SIGN(O66)),90*(2-SIGN(P66))-180*(ATAN(O66/P66))/PI()))))</f>
        <v>45</v>
      </c>
      <c r="U66" s="165">
        <f>IF(O66^2&lt;0.00001,0,O66)</f>
        <v>0</v>
      </c>
      <c r="V66" s="165">
        <f>IF(P66^2&lt;0.00001,0,P66)</f>
        <v>0</v>
      </c>
      <c r="W66" s="166">
        <f>IF(Q66&lt;0.001,0,Q66)</f>
        <v>0</v>
      </c>
      <c r="X66" s="23"/>
      <c r="Y66" s="23"/>
      <c r="Z66" s="23"/>
      <c r="AB66" s="141"/>
      <c r="AC66" s="141"/>
      <c r="AD66" s="141"/>
      <c r="AE66" s="141"/>
    </row>
    <row r="67" spans="3:31" ht="15.75" x14ac:dyDescent="0.25">
      <c r="C67" s="23"/>
      <c r="D67" s="25"/>
      <c r="E67" s="23"/>
      <c r="F67" s="23"/>
      <c r="G67" s="23"/>
      <c r="H67" s="23"/>
      <c r="I67" s="23"/>
      <c r="J67" s="23"/>
      <c r="K67" s="25"/>
      <c r="L67" s="25"/>
      <c r="M67" s="25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B67" s="141"/>
      <c r="AC67" s="141"/>
      <c r="AD67" s="141"/>
      <c r="AE67" s="141"/>
    </row>
    <row r="68" spans="3:31" ht="15.75" x14ac:dyDescent="0.25">
      <c r="C68" s="23"/>
      <c r="D68" s="22" t="str">
        <f>IF(D66*F66=0,""," Diagramme clarté saturation  N°")</f>
        <v xml:space="preserve"> Diagramme clarté saturation  N°</v>
      </c>
      <c r="E68" s="23"/>
      <c r="F68" s="23"/>
      <c r="G68" s="22" t="str">
        <f>IF(D66*F66=0,"",IF('F2'!E39=1,"1 à 30",+'F2'!D22))</f>
        <v>1 à 30</v>
      </c>
      <c r="H68" s="189" t="str">
        <f>IF(D66*F66=0,"",IF('F2'!D39=1,'F2'!A25,'F2'!C23))</f>
        <v xml:space="preserve">   NEUTRE</v>
      </c>
      <c r="I68" s="189"/>
      <c r="J68" s="25"/>
      <c r="K68" s="150" t="str">
        <f>IF(D66*F66=0,"","    Clarté CIE    L* =" )</f>
        <v xml:space="preserve">    Clarté CIE    L* =</v>
      </c>
      <c r="L68" s="167">
        <f>IF(D65*F66=0,"",N66)</f>
        <v>9.9999999999999995E-7</v>
      </c>
      <c r="M68" s="23"/>
      <c r="N68" s="22" t="str">
        <f>IF(D66=0,"","               Indice de saturation    S  =")</f>
        <v xml:space="preserve">               Indice de saturation    S  =</v>
      </c>
      <c r="O68" s="23"/>
      <c r="P68" s="23"/>
      <c r="Q68" s="167">
        <f>IF(D66*F66=0,"",IF(D65=7,E61,'F2'!D13))</f>
        <v>0</v>
      </c>
      <c r="R68" s="23"/>
      <c r="S68" s="23"/>
      <c r="T68" s="23"/>
      <c r="U68" s="23"/>
      <c r="V68" s="166"/>
      <c r="W68" s="23"/>
      <c r="X68" s="23"/>
      <c r="Y68" s="23"/>
      <c r="Z68" s="23"/>
      <c r="AB68" s="141"/>
      <c r="AC68" s="141"/>
      <c r="AD68" s="141"/>
      <c r="AE68" s="141"/>
    </row>
    <row r="69" spans="3:31" x14ac:dyDescent="0.25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168"/>
      <c r="U69" s="23"/>
      <c r="V69" s="23"/>
      <c r="W69" s="23"/>
      <c r="X69" s="23"/>
      <c r="Y69" s="23"/>
      <c r="Z69" s="23"/>
      <c r="AB69" s="141"/>
      <c r="AC69" s="141"/>
      <c r="AD69" s="141"/>
      <c r="AE69" s="141"/>
    </row>
    <row r="70" spans="3:31" x14ac:dyDescent="0.25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169" t="str">
        <f>IF(D66=0,"",IF(Q66&lt;=0.1,"Indéterminé",T70))</f>
        <v>Indéterminé</v>
      </c>
      <c r="S70" s="23"/>
      <c r="T70" s="73">
        <f>ROUND(Q66/N66,2)</f>
        <v>1.41</v>
      </c>
      <c r="U70" s="23"/>
      <c r="V70" s="23"/>
      <c r="W70" s="23"/>
      <c r="X70" s="23"/>
      <c r="Y70" s="23"/>
      <c r="Z70" s="23"/>
      <c r="AB70" s="141"/>
      <c r="AC70" s="141"/>
      <c r="AD70" s="141"/>
      <c r="AE70" s="141"/>
    </row>
    <row r="71" spans="3:31" x14ac:dyDescent="0.25">
      <c r="C71" s="23"/>
      <c r="D71" s="23"/>
      <c r="E71" s="23"/>
      <c r="F71" s="23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23"/>
      <c r="T71" s="23"/>
      <c r="U71" s="23"/>
      <c r="V71" s="23"/>
      <c r="W71" s="23"/>
      <c r="X71" s="23"/>
      <c r="Y71" s="23"/>
      <c r="Z71" s="23"/>
      <c r="AB71" s="141"/>
      <c r="AC71" s="141"/>
      <c r="AD71" s="141"/>
      <c r="AE71" s="141"/>
    </row>
    <row r="72" spans="3:31" x14ac:dyDescent="0.25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B72" s="141"/>
      <c r="AC72" s="141"/>
      <c r="AD72" s="141"/>
      <c r="AE72" s="141"/>
    </row>
    <row r="73" spans="3:31" x14ac:dyDescent="0.25">
      <c r="C73" s="23"/>
      <c r="D73" s="23"/>
      <c r="E73" s="23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83"/>
      <c r="S73" s="149"/>
      <c r="T73" s="149"/>
      <c r="U73" s="149"/>
      <c r="V73" s="149"/>
      <c r="W73" s="149"/>
      <c r="X73" s="149"/>
      <c r="Y73" s="23"/>
      <c r="Z73" s="23"/>
      <c r="AB73" s="141"/>
      <c r="AC73" s="141"/>
      <c r="AD73" s="141"/>
      <c r="AE73" s="141"/>
    </row>
    <row r="74" spans="3:31" x14ac:dyDescent="0.25">
      <c r="C74" s="23"/>
      <c r="D74" s="23"/>
      <c r="E74" s="23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23"/>
      <c r="Z74" s="23"/>
      <c r="AB74" s="141"/>
      <c r="AC74" s="141"/>
      <c r="AD74" s="141"/>
      <c r="AE74" s="141"/>
    </row>
    <row r="75" spans="3:31" x14ac:dyDescent="0.25">
      <c r="D75" s="87"/>
      <c r="E75" s="87"/>
      <c r="F75" s="106"/>
      <c r="G75" s="106"/>
      <c r="H75" s="106"/>
      <c r="I75" s="106"/>
      <c r="J75" s="106"/>
      <c r="K75" s="106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AB75" s="141"/>
      <c r="AC75" s="141"/>
      <c r="AD75" s="141"/>
      <c r="AE75" s="141"/>
    </row>
    <row r="76" spans="3:31" x14ac:dyDescent="0.25"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AB76" s="141"/>
      <c r="AC76" s="141"/>
      <c r="AD76" s="141"/>
      <c r="AE76" s="141"/>
    </row>
    <row r="77" spans="3:31" x14ac:dyDescent="0.25"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AB77" s="141"/>
      <c r="AC77" s="141"/>
      <c r="AD77" s="141"/>
      <c r="AE77" s="141"/>
    </row>
    <row r="78" spans="3:31" x14ac:dyDescent="0.25"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AB78" s="141"/>
      <c r="AC78" s="141"/>
      <c r="AD78" s="141"/>
      <c r="AE78" s="141"/>
    </row>
    <row r="79" spans="3:31" x14ac:dyDescent="0.25"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AB79" s="184"/>
      <c r="AC79" s="184"/>
      <c r="AD79" s="184"/>
      <c r="AE79" s="184"/>
    </row>
    <row r="80" spans="3:31" x14ac:dyDescent="0.25">
      <c r="W80" s="141"/>
      <c r="AB80" s="184"/>
      <c r="AC80" s="184"/>
      <c r="AD80" s="184"/>
      <c r="AE80" s="184"/>
    </row>
    <row r="81" spans="23:31" x14ac:dyDescent="0.25">
      <c r="W81" s="141"/>
      <c r="AB81" s="184"/>
      <c r="AC81" s="184"/>
      <c r="AD81" s="184"/>
      <c r="AE81" s="184"/>
    </row>
    <row r="82" spans="23:31" x14ac:dyDescent="0.25">
      <c r="W82" s="141"/>
      <c r="AB82" s="184"/>
      <c r="AC82" s="184"/>
      <c r="AD82" s="184"/>
      <c r="AE82" s="184"/>
    </row>
    <row r="83" spans="23:31" x14ac:dyDescent="0.25">
      <c r="W83" s="141"/>
      <c r="AB83" s="184"/>
      <c r="AC83" s="184"/>
      <c r="AD83" s="184"/>
      <c r="AE83" s="184"/>
    </row>
    <row r="84" spans="23:31" x14ac:dyDescent="0.25">
      <c r="W84" s="141"/>
      <c r="AB84" s="184"/>
      <c r="AC84" s="184"/>
      <c r="AD84" s="184"/>
      <c r="AE84" s="184"/>
    </row>
    <row r="85" spans="23:31" x14ac:dyDescent="0.25">
      <c r="W85" s="141"/>
      <c r="AB85" s="184"/>
      <c r="AC85" s="184"/>
      <c r="AD85" s="184"/>
      <c r="AE85" s="184"/>
    </row>
    <row r="86" spans="23:31" x14ac:dyDescent="0.25">
      <c r="W86" s="141"/>
      <c r="AB86" s="184"/>
      <c r="AC86" s="184"/>
      <c r="AD86" s="184"/>
      <c r="AE86" s="184"/>
    </row>
    <row r="87" spans="23:31" x14ac:dyDescent="0.25">
      <c r="W87" s="141"/>
      <c r="AB87" s="184"/>
      <c r="AC87" s="184"/>
      <c r="AD87" s="184"/>
      <c r="AE87" s="184"/>
    </row>
    <row r="88" spans="23:31" x14ac:dyDescent="0.25">
      <c r="W88" s="141"/>
      <c r="AB88" s="184"/>
      <c r="AC88" s="184"/>
      <c r="AD88" s="184"/>
      <c r="AE88" s="184"/>
    </row>
    <row r="89" spans="23:31" x14ac:dyDescent="0.25">
      <c r="W89" s="141"/>
      <c r="AB89" s="184"/>
      <c r="AC89" s="184"/>
      <c r="AD89" s="184"/>
      <c r="AE89" s="184"/>
    </row>
    <row r="90" spans="23:31" x14ac:dyDescent="0.25">
      <c r="W90" s="141"/>
      <c r="AB90" s="184"/>
      <c r="AC90" s="184"/>
      <c r="AD90" s="184"/>
      <c r="AE90" s="184"/>
    </row>
    <row r="91" spans="23:31" x14ac:dyDescent="0.25">
      <c r="W91" s="141"/>
      <c r="AB91" s="184"/>
      <c r="AC91" s="184"/>
      <c r="AD91" s="184"/>
      <c r="AE91" s="184"/>
    </row>
    <row r="92" spans="23:31" x14ac:dyDescent="0.25">
      <c r="W92" s="141"/>
      <c r="X92" s="141"/>
      <c r="Y92" s="141"/>
      <c r="Z92" s="141"/>
      <c r="AA92" s="141"/>
      <c r="AB92" s="141"/>
      <c r="AC92" s="141"/>
    </row>
    <row r="93" spans="23:31" x14ac:dyDescent="0.25">
      <c r="W93" s="141"/>
      <c r="X93" s="141"/>
      <c r="Y93" s="141"/>
      <c r="Z93" s="141"/>
      <c r="AA93" s="141"/>
      <c r="AB93" s="141"/>
      <c r="AC93" s="141"/>
    </row>
    <row r="94" spans="23:31" x14ac:dyDescent="0.25">
      <c r="W94" s="141"/>
      <c r="X94" s="141"/>
      <c r="Y94" s="141"/>
      <c r="Z94" s="141"/>
      <c r="AA94" s="141"/>
      <c r="AB94" s="141"/>
      <c r="AC94" s="141"/>
    </row>
    <row r="95" spans="23:31" x14ac:dyDescent="0.25">
      <c r="W95" s="141"/>
      <c r="X95" s="141"/>
      <c r="Y95" s="141"/>
      <c r="Z95" s="141"/>
      <c r="AA95" s="141"/>
      <c r="AB95" s="141"/>
      <c r="AC95" s="141"/>
    </row>
    <row r="96" spans="23:31" x14ac:dyDescent="0.25">
      <c r="W96" s="141"/>
      <c r="X96" s="141"/>
      <c r="Y96" s="141"/>
      <c r="Z96" s="141"/>
      <c r="AA96" s="141"/>
      <c r="AB96" s="141"/>
      <c r="AC96" s="141"/>
    </row>
    <row r="97" spans="23:29" x14ac:dyDescent="0.25">
      <c r="W97" s="141"/>
      <c r="X97" s="141"/>
      <c r="Y97" s="141"/>
      <c r="Z97" s="141"/>
      <c r="AA97" s="141"/>
      <c r="AB97" s="141"/>
      <c r="AC97" s="141"/>
    </row>
    <row r="98" spans="23:29" x14ac:dyDescent="0.25">
      <c r="W98" s="141"/>
      <c r="X98" s="141"/>
      <c r="Y98" s="141"/>
      <c r="Z98" s="141"/>
      <c r="AA98" s="141"/>
      <c r="AB98" s="141"/>
      <c r="AC98" s="141"/>
    </row>
    <row r="99" spans="23:29" x14ac:dyDescent="0.25">
      <c r="W99" s="141"/>
      <c r="X99" s="141"/>
      <c r="Y99" s="141"/>
      <c r="Z99" s="141"/>
      <c r="AA99" s="141"/>
      <c r="AB99" s="141"/>
      <c r="AC99" s="141"/>
    </row>
    <row r="100" spans="23:29" x14ac:dyDescent="0.25">
      <c r="W100" s="141"/>
      <c r="X100" s="141"/>
      <c r="Y100" s="141"/>
      <c r="Z100" s="141"/>
      <c r="AA100" s="141"/>
      <c r="AB100" s="141"/>
      <c r="AC100" s="141"/>
    </row>
    <row r="101" spans="23:29" x14ac:dyDescent="0.25">
      <c r="W101" s="141"/>
      <c r="X101" s="141"/>
      <c r="Y101" s="141"/>
      <c r="Z101" s="141"/>
      <c r="AA101" s="141"/>
      <c r="AB101" s="141"/>
      <c r="AC101" s="141"/>
    </row>
    <row r="102" spans="23:29" x14ac:dyDescent="0.25">
      <c r="W102" s="141"/>
      <c r="X102" s="141"/>
      <c r="Y102" s="141"/>
      <c r="Z102" s="141"/>
      <c r="AA102" s="141"/>
      <c r="AB102" s="141"/>
      <c r="AC102" s="141"/>
    </row>
    <row r="103" spans="23:29" x14ac:dyDescent="0.25">
      <c r="W103" s="141"/>
      <c r="X103" s="141"/>
      <c r="Y103" s="141"/>
      <c r="Z103" s="141"/>
      <c r="AA103" s="141"/>
      <c r="AB103" s="141"/>
      <c r="AC103" s="141"/>
    </row>
    <row r="104" spans="23:29" x14ac:dyDescent="0.25">
      <c r="W104" s="141"/>
      <c r="X104" s="141"/>
      <c r="Y104" s="141"/>
      <c r="Z104" s="141"/>
      <c r="AA104" s="141"/>
      <c r="AB104" s="141"/>
      <c r="AC104" s="141"/>
    </row>
    <row r="105" spans="23:29" x14ac:dyDescent="0.25">
      <c r="W105" s="141"/>
      <c r="X105" s="141"/>
      <c r="Y105" s="141"/>
      <c r="Z105" s="141"/>
      <c r="AA105" s="141"/>
      <c r="AB105" s="141"/>
      <c r="AC105" s="141"/>
    </row>
    <row r="106" spans="23:29" x14ac:dyDescent="0.25">
      <c r="W106" s="141"/>
      <c r="X106" s="141"/>
      <c r="Y106" s="141"/>
      <c r="Z106" s="141"/>
      <c r="AA106" s="141"/>
      <c r="AB106" s="141"/>
      <c r="AC106" s="141"/>
    </row>
    <row r="107" spans="23:29" x14ac:dyDescent="0.25">
      <c r="W107" s="141"/>
      <c r="X107" s="141"/>
      <c r="Y107" s="141"/>
      <c r="Z107" s="141"/>
      <c r="AA107" s="141"/>
      <c r="AB107" s="141"/>
      <c r="AC107" s="141"/>
    </row>
    <row r="108" spans="23:29" x14ac:dyDescent="0.25">
      <c r="W108" s="141"/>
      <c r="X108" s="141"/>
      <c r="Y108" s="141"/>
      <c r="Z108" s="141"/>
      <c r="AA108" s="141"/>
      <c r="AB108" s="141"/>
      <c r="AC108" s="141"/>
    </row>
    <row r="109" spans="23:29" x14ac:dyDescent="0.25">
      <c r="W109" s="141"/>
      <c r="X109" s="141"/>
      <c r="Y109" s="141"/>
      <c r="Z109" s="141"/>
      <c r="AA109" s="141"/>
      <c r="AB109" s="141"/>
      <c r="AC109" s="141"/>
    </row>
    <row r="110" spans="23:29" x14ac:dyDescent="0.25">
      <c r="W110" s="141"/>
      <c r="X110" s="141"/>
      <c r="Y110" s="141"/>
      <c r="Z110" s="141"/>
      <c r="AA110" s="141"/>
      <c r="AB110" s="141"/>
      <c r="AC110" s="141"/>
    </row>
    <row r="111" spans="23:29" x14ac:dyDescent="0.25">
      <c r="W111" s="141"/>
      <c r="X111" s="141"/>
      <c r="Y111" s="141"/>
      <c r="Z111" s="141"/>
      <c r="AA111" s="141"/>
      <c r="AB111" s="141"/>
      <c r="AC111" s="141"/>
    </row>
    <row r="112" spans="23:29" x14ac:dyDescent="0.25">
      <c r="W112" s="141"/>
      <c r="X112" s="141"/>
      <c r="Y112" s="141"/>
      <c r="Z112" s="141"/>
      <c r="AA112" s="141"/>
      <c r="AB112" s="141"/>
      <c r="AC112" s="141"/>
    </row>
    <row r="113" spans="23:29" x14ac:dyDescent="0.25">
      <c r="W113" s="141"/>
      <c r="X113" s="141"/>
      <c r="Y113" s="141"/>
      <c r="Z113" s="141"/>
      <c r="AA113" s="141"/>
      <c r="AB113" s="141"/>
      <c r="AC113" s="141"/>
    </row>
    <row r="114" spans="23:29" x14ac:dyDescent="0.25">
      <c r="W114" s="141"/>
      <c r="X114" s="141"/>
      <c r="Y114" s="141"/>
      <c r="Z114" s="141"/>
      <c r="AA114" s="141"/>
      <c r="AB114" s="141"/>
      <c r="AC114" s="141"/>
    </row>
  </sheetData>
  <sheetProtection password="F4FC" sheet="1" objects="1" scenarios="1" selectLockedCells="1"/>
  <protectedRanges>
    <protectedRange sqref="E13:E14 E60:E64" name="Plage1"/>
  </protectedRanges>
  <mergeCells count="6">
    <mergeCell ref="H68:I68"/>
    <mergeCell ref="H18:I18"/>
    <mergeCell ref="H10:L10"/>
    <mergeCell ref="C14:D14"/>
    <mergeCell ref="H60:L60"/>
    <mergeCell ref="C64:D64"/>
  </mergeCells>
  <pageMargins left="0.39370078740157483" right="0.19685039370078741" top="0.39370078740157483" bottom="0.15748031496062992" header="0" footer="0"/>
  <pageSetup paperSize="9" scale="1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1"/>
  <sheetViews>
    <sheetView zoomScaleNormal="100" workbookViewId="0">
      <selection sqref="A1:XFD1048576"/>
    </sheetView>
  </sheetViews>
  <sheetFormatPr baseColWidth="10" defaultRowHeight="12.75" x14ac:dyDescent="0.2"/>
  <cols>
    <col min="1" max="1" width="4.85546875" style="37" customWidth="1"/>
    <col min="2" max="2" width="11.28515625" style="37" customWidth="1"/>
    <col min="3" max="3" width="19.5703125" style="37" customWidth="1"/>
    <col min="4" max="4" width="10.140625" style="37" customWidth="1"/>
    <col min="5" max="5" width="5.5703125" style="37" customWidth="1"/>
    <col min="6" max="6" width="2.5703125" style="37" customWidth="1"/>
    <col min="7" max="7" width="20.140625" style="37" customWidth="1"/>
    <col min="8" max="8" width="6.42578125" style="37" customWidth="1"/>
    <col min="9" max="9" width="6" style="37" customWidth="1"/>
    <col min="10" max="10" width="14" style="37" customWidth="1"/>
    <col min="11" max="11" width="5" style="37" customWidth="1"/>
    <col min="12" max="41" width="7.7109375" style="37" customWidth="1"/>
    <col min="42" max="42" width="8.140625" style="37" customWidth="1"/>
    <col min="43" max="43" width="7.85546875" style="37" customWidth="1"/>
    <col min="44" max="44" width="8" style="37" customWidth="1"/>
    <col min="45" max="45" width="8.85546875" style="37" customWidth="1"/>
    <col min="46" max="46" width="9.42578125" style="37" customWidth="1"/>
    <col min="47" max="47" width="8.140625" style="37" customWidth="1"/>
    <col min="48" max="16384" width="11.42578125" style="37"/>
  </cols>
  <sheetData>
    <row r="1" spans="1:26" ht="23.25" customHeight="1" x14ac:dyDescent="0.2">
      <c r="A1" s="35"/>
      <c r="B1" s="36"/>
      <c r="Y1" s="38"/>
      <c r="Z1" s="38"/>
    </row>
    <row r="2" spans="1:26" ht="15.75" x14ac:dyDescent="0.25">
      <c r="B2" s="39"/>
      <c r="C2" s="40"/>
      <c r="K2" s="41"/>
      <c r="Y2" s="42"/>
    </row>
    <row r="3" spans="1:26" x14ac:dyDescent="0.2">
      <c r="C3" s="40"/>
      <c r="K3" s="37" t="s">
        <v>194</v>
      </c>
      <c r="L3" s="34" t="s">
        <v>14</v>
      </c>
      <c r="M3" s="34" t="s">
        <v>12</v>
      </c>
      <c r="N3" s="34" t="s">
        <v>15</v>
      </c>
      <c r="O3" s="34" t="s">
        <v>9</v>
      </c>
      <c r="P3" s="34" t="s">
        <v>16</v>
      </c>
      <c r="Q3" s="34" t="s">
        <v>6</v>
      </c>
      <c r="R3" s="34" t="s">
        <v>17</v>
      </c>
      <c r="S3" s="34" t="s">
        <v>3</v>
      </c>
      <c r="T3" s="34" t="s">
        <v>4</v>
      </c>
      <c r="U3" s="34"/>
      <c r="V3" s="34"/>
    </row>
    <row r="4" spans="1:26" x14ac:dyDescent="0.2">
      <c r="C4" s="34">
        <f>IF('F1'!D66=0,0,1)</f>
        <v>1</v>
      </c>
      <c r="J4" s="34"/>
      <c r="K4" s="35"/>
      <c r="L4" s="35"/>
    </row>
    <row r="5" spans="1:26" x14ac:dyDescent="0.2">
      <c r="J5" s="34"/>
      <c r="K5" s="35"/>
      <c r="L5" s="35"/>
    </row>
    <row r="6" spans="1:26" x14ac:dyDescent="0.2">
      <c r="L6" s="43">
        <v>94</v>
      </c>
      <c r="M6" s="43">
        <v>92</v>
      </c>
      <c r="N6" s="44">
        <v>89.5</v>
      </c>
      <c r="O6" s="43">
        <v>87</v>
      </c>
      <c r="P6" s="43">
        <v>79</v>
      </c>
      <c r="Q6" s="43">
        <v>67</v>
      </c>
      <c r="R6" s="43">
        <v>57</v>
      </c>
      <c r="S6" s="43">
        <v>47</v>
      </c>
      <c r="T6" s="43">
        <v>39</v>
      </c>
      <c r="U6" s="43">
        <v>32</v>
      </c>
      <c r="V6" s="43">
        <v>27</v>
      </c>
      <c r="W6" s="43">
        <v>20</v>
      </c>
      <c r="X6" s="43">
        <v>15</v>
      </c>
      <c r="Y6" s="43">
        <v>3</v>
      </c>
    </row>
    <row r="7" spans="1:26" x14ac:dyDescent="0.2">
      <c r="C7" s="45" t="s">
        <v>230</v>
      </c>
      <c r="D7" s="46">
        <f>IF(C4=0,0,+'F1'!N66)</f>
        <v>9.9999999999999995E-7</v>
      </c>
      <c r="K7" s="35"/>
      <c r="L7" s="35"/>
    </row>
    <row r="8" spans="1:26" x14ac:dyDescent="0.2">
      <c r="C8" s="37" t="s">
        <v>231</v>
      </c>
      <c r="D8" s="46">
        <f>IF(C4=0,0,+'F1'!T66)</f>
        <v>45</v>
      </c>
      <c r="E8" s="44"/>
      <c r="K8" s="35"/>
      <c r="L8" s="35"/>
    </row>
    <row r="9" spans="1:26" x14ac:dyDescent="0.2">
      <c r="C9" s="37" t="s">
        <v>0</v>
      </c>
      <c r="D9" s="47">
        <f>0.1008+0.00284/(1-0.97*COS(D$10*(D8-13.5)))+0.0267/(1-0.75*COS(D$10*(D8-12.4)))+0.0137/(1-0.888*COS(D$10*(D8-264.5)))+0.0242/(1-0.7*COS(D$10*(D8-265)))+0.00044/(1-0.962*COS(D$10*(D8-355)))+0.0109*(1+COS(D$10*(D8-175)))^1.5+0.0061*(1+COS(D$10*(D8-327)))^4</f>
        <v>0.23009295999614005</v>
      </c>
      <c r="G9" s="48"/>
      <c r="L9" s="43">
        <v>4</v>
      </c>
      <c r="M9" s="43">
        <v>9</v>
      </c>
      <c r="N9" s="43">
        <v>15</v>
      </c>
      <c r="O9" s="43">
        <v>22</v>
      </c>
      <c r="P9" s="43">
        <v>26</v>
      </c>
      <c r="Q9" s="43">
        <v>28</v>
      </c>
      <c r="R9" s="43">
        <v>35</v>
      </c>
      <c r="S9" s="43">
        <v>38</v>
      </c>
      <c r="T9" s="43">
        <v>43</v>
      </c>
      <c r="U9" s="43">
        <v>48</v>
      </c>
      <c r="V9" s="43">
        <v>57</v>
      </c>
      <c r="W9" s="43">
        <v>60</v>
      </c>
      <c r="X9" s="43">
        <v>63</v>
      </c>
      <c r="Y9" s="43">
        <v>72</v>
      </c>
      <c r="Z9" s="43">
        <v>75</v>
      </c>
    </row>
    <row r="10" spans="1:26" x14ac:dyDescent="0.2">
      <c r="A10" s="34"/>
      <c r="B10" s="34"/>
      <c r="C10" s="49" t="s">
        <v>2</v>
      </c>
      <c r="D10" s="38">
        <f>PI()/180</f>
        <v>1.7453292519943295E-2</v>
      </c>
      <c r="E10" s="40"/>
      <c r="L10" s="43">
        <v>79</v>
      </c>
      <c r="M10" s="43">
        <v>135</v>
      </c>
      <c r="N10" s="43">
        <v>154</v>
      </c>
      <c r="O10" s="43">
        <v>198</v>
      </c>
      <c r="P10" s="43">
        <v>231</v>
      </c>
      <c r="Q10" s="43">
        <v>246</v>
      </c>
      <c r="R10" s="43">
        <v>264</v>
      </c>
      <c r="S10" s="43">
        <v>273</v>
      </c>
      <c r="T10" s="43">
        <v>286</v>
      </c>
      <c r="U10" s="43">
        <v>299</v>
      </c>
      <c r="V10" s="43">
        <v>313</v>
      </c>
      <c r="W10" s="43">
        <v>329</v>
      </c>
      <c r="X10" s="43">
        <v>335</v>
      </c>
      <c r="Y10" s="43">
        <v>346</v>
      </c>
      <c r="Z10" s="43">
        <v>350</v>
      </c>
    </row>
    <row r="11" spans="1:26" x14ac:dyDescent="0.2">
      <c r="C11" s="37" t="s">
        <v>232</v>
      </c>
      <c r="D11" s="46">
        <f>IF(C4=0,0,+'F1'!W66)</f>
        <v>0</v>
      </c>
      <c r="G11" s="35"/>
      <c r="K11" s="35"/>
      <c r="L11" s="35"/>
    </row>
    <row r="12" spans="1:26" x14ac:dyDescent="0.2">
      <c r="A12" s="50"/>
      <c r="B12" s="46"/>
      <c r="C12" s="51" t="s">
        <v>1</v>
      </c>
      <c r="D12" s="46">
        <f>IF(D7=0,0,D11/D7)</f>
        <v>0</v>
      </c>
      <c r="K12" s="35"/>
      <c r="L12" s="35"/>
    </row>
    <row r="13" spans="1:26" x14ac:dyDescent="0.2">
      <c r="A13" s="50"/>
      <c r="B13" s="46"/>
      <c r="C13" s="37" t="s">
        <v>233</v>
      </c>
      <c r="D13" s="46">
        <f>IF('F1'!$D$65=7,'F1'!$E$11,D12/D9)</f>
        <v>0</v>
      </c>
      <c r="G13" s="48"/>
      <c r="K13" s="35"/>
      <c r="L13" s="49" t="s">
        <v>13</v>
      </c>
      <c r="M13" s="49" t="s">
        <v>12</v>
      </c>
      <c r="N13" s="49" t="s">
        <v>11</v>
      </c>
      <c r="O13" s="49" t="s">
        <v>10</v>
      </c>
      <c r="P13" s="49" t="s">
        <v>9</v>
      </c>
      <c r="Q13" s="49" t="s">
        <v>8</v>
      </c>
      <c r="R13" s="49" t="s">
        <v>7</v>
      </c>
      <c r="S13" s="49" t="s">
        <v>6</v>
      </c>
      <c r="T13" s="49" t="s">
        <v>5</v>
      </c>
    </row>
    <row r="15" spans="1:26" ht="15.75" x14ac:dyDescent="0.25">
      <c r="A15" s="27"/>
      <c r="B15" s="18"/>
      <c r="K15" s="27"/>
      <c r="R15" s="52" t="str">
        <f>IF(D39=1,"",IF(X16=0,"",C23))</f>
        <v/>
      </c>
      <c r="U15" s="37" t="str">
        <f>IF(L16=1,L13,IF(M16=1,M13,IF(N16=1,N13,IF(O16=1,O13,IF(P16=1,P13,IF(Q16=1,Q13,IF(R16=1,R13,IF(S16=1,S13,IF(T16=1,T13,"")))))))))</f>
        <v/>
      </c>
    </row>
    <row r="16" spans="1:26" x14ac:dyDescent="0.2">
      <c r="L16" s="34">
        <f t="shared" ref="L16:T16" si="0">L19+L22+L25+L28+L31+L34+L37+L40+L43+L46+L49+L52+L55+L58+L61+L64+L67+L70+L73+L76+L79+L82+L85+L88+L91+L94+L97+L100+L103+L106</f>
        <v>0</v>
      </c>
      <c r="M16" s="34">
        <f t="shared" si="0"/>
        <v>0</v>
      </c>
      <c r="N16" s="34">
        <f t="shared" si="0"/>
        <v>0</v>
      </c>
      <c r="O16" s="34">
        <f t="shared" si="0"/>
        <v>0</v>
      </c>
      <c r="P16" s="34">
        <f t="shared" si="0"/>
        <v>0</v>
      </c>
      <c r="Q16" s="34">
        <f t="shared" si="0"/>
        <v>0</v>
      </c>
      <c r="R16" s="34">
        <f t="shared" si="0"/>
        <v>0</v>
      </c>
      <c r="S16" s="34">
        <f t="shared" si="0"/>
        <v>0</v>
      </c>
      <c r="T16" s="34">
        <f t="shared" si="0"/>
        <v>0</v>
      </c>
      <c r="X16" s="34">
        <f>X19+X22+X25+X28+X31+X34+X37+X40+X43+X46+X49+X52+X55+X58+X61+X64+X67+X70+X73+X76+X79+X82+X85+X88+X91+X94+X97+X100+X103+X106</f>
        <v>0</v>
      </c>
    </row>
    <row r="17" spans="1:25" x14ac:dyDescent="0.2">
      <c r="A17" s="53"/>
      <c r="C17" s="54" t="str">
        <f>IF(D17=1,"VIOLET-POURPRE",IF(D17=2,"VIOLET",IF(D17=3,"VIOLET-BLEU",IF(D17=4,"BLEU-VIOLET",IF(D17=5,"BLEU",IF(D17=6,"BLEU-VERT",IF(D17=7,"VERT-BLEU",IF(D17=8,"VERT",IF(D17=9,"VERT-JAUNE","")))))))))</f>
        <v/>
      </c>
      <c r="D17" s="34" t="str">
        <f>IF(D8&gt;=U10,"",IF(D8&gt;=T10,1,IF(D8&gt;=S10,2,IF(D8&gt;=R10,3,IF(D8&gt;=Q10,4,IF(D8&gt;=P10,5,IF(D8&gt;=O10,6,IF(D8&gt;=N10,7,IF(D8&gt;=M10,8,IF(D8&gt;=L10,9,""))))))))))</f>
        <v/>
      </c>
      <c r="E17" s="34" t="str">
        <f>IF(D8&gt;=U10,"",IF(D8&gt;=T10,56,IF(D8&gt;=S10,53,IF(D8&gt;=R10,51,IF(D8&gt;=Q10,56,IF(D8&gt;=P10,63,IF(D8&gt;=O10,77,IF(D8&gt;=N10,88,IF(D8&gt;=M10,92,IF(D8&gt;=L10,98,""))))))))))</f>
        <v/>
      </c>
      <c r="J17" s="45"/>
      <c r="K17" s="34">
        <v>29</v>
      </c>
      <c r="L17" s="34">
        <v>2</v>
      </c>
      <c r="M17" s="34">
        <v>4.3</v>
      </c>
      <c r="N17" s="34">
        <v>2.2000000000000002</v>
      </c>
      <c r="O17" s="34">
        <v>4.5999999999999996</v>
      </c>
      <c r="P17" s="34">
        <v>2.9</v>
      </c>
      <c r="Q17" s="34">
        <v>5</v>
      </c>
      <c r="X17" s="34"/>
    </row>
    <row r="18" spans="1:25" x14ac:dyDescent="0.2">
      <c r="A18" s="55"/>
      <c r="C18" s="54" t="str">
        <f>IF(D18=10,"JAUNE-VERT",IF(D18=11,"JAUNE-VERT",IF(D18=12,"JAUNE",IF(D18=13,"JAUNE",IF(D18=14,"JAUNE",IF(D18=15,"JAUNE-ORANGÉ",IF(D18=16,"JAUNE-ORANGÉ","")))))))</f>
        <v>JAUNE-ORANGÉ</v>
      </c>
      <c r="D18" s="34">
        <f>IF(D8&gt;=L10,"",IF(D8&gt;=Z9,10,IF(D8&gt;=Y9,11,IF(D8&gt;=X9,12,IF(D8&gt;=W9,13,IF(D8&gt;=V9,14,IF(D8&gt;=U9,15,IF(D8&gt;=T9,16,""))))))))</f>
        <v>16</v>
      </c>
      <c r="E18" s="34">
        <f>IF(D8&gt;=L10,"",IF(D8&gt;=Z9,95,IF(D8&gt;=Y9,94.5,IF(D8&gt;=X9,93,IF(D8&gt;=W9,90.5,IF(D8&gt;=V9,89,IF(D8&gt;=U9,86,IF(D8&gt;=T9,84,""))))))))</f>
        <v>84</v>
      </c>
      <c r="L18" s="34">
        <v>66</v>
      </c>
      <c r="M18" s="34">
        <v>57</v>
      </c>
      <c r="N18" s="34">
        <v>52</v>
      </c>
      <c r="O18" s="34">
        <v>34</v>
      </c>
      <c r="P18" s="34">
        <v>30</v>
      </c>
      <c r="Q18" s="34">
        <v>30</v>
      </c>
    </row>
    <row r="19" spans="1:25" x14ac:dyDescent="0.2">
      <c r="A19" s="53"/>
      <c r="C19" s="54" t="str">
        <f>IF(D19=17,"ORANGÉ-JAUNE",IF(D19=18,"ORANGÉ-JAUNE",IF(D19=19,"ORANGÉ",IF(D19=20,"ORANGÉ",IF(D19=21,"ORANGÉ-ROUGE",IF(D19=22,"ORANGÉ-ROUGE",""))))))</f>
        <v/>
      </c>
      <c r="D19" s="34" t="str">
        <f>IF(D8&gt;=T9,"",IF(D8&gt;=S9,17,IF(D8&gt;=R9,18,IF(D8&gt;=Q9,19,IF(D8&gt;=P9,20,IF(D8&gt;=O9,21,IF(D8&gt;=N9,22,"")))))))</f>
        <v/>
      </c>
      <c r="E19" s="34" t="str">
        <f>IF(D8&gt;=T9,"",IF(D8&gt;=S9,80,IF(D8&gt;=R9,79,IF(D8&gt;=Q9,75,IF(D8&gt;=P9,73,IF(D8&gt;=O9,71,IF(D8&gt;=N9,68,"")))))))</f>
        <v/>
      </c>
      <c r="J19" s="56"/>
      <c r="K19" s="37">
        <f>ABS($D$22-K17)+$D$39</f>
        <v>14</v>
      </c>
      <c r="L19" s="37">
        <f>IF(K19=0,IF(D$13&lt;L17,IF(D$7&gt;=L18,1,0),0),0)</f>
        <v>0</v>
      </c>
      <c r="M19" s="37">
        <f>IF(K19=0,IF(AND(D$13&gt;=L17,D$13&lt;M17),IF(D$7&gt;=M18,1,0),0),0)</f>
        <v>0</v>
      </c>
      <c r="N19" s="37">
        <f>IF(K19=0,IF(D$13&gt;=M17,IF(D$7&gt;=N18,1,0),0),0)</f>
        <v>0</v>
      </c>
      <c r="O19" s="37">
        <f>IF(K19+M19=0,IF(D$13&lt;N17,IF(AND(D$7&gt;=O18,D$7&lt;L18),1,0),0),0)</f>
        <v>0</v>
      </c>
      <c r="P19" s="37">
        <f>IF(K19+N19=0,IF(AND(D$13&gt;=N17,D$13&lt;O17),IF(AND(D$7&gt;=P18,D$7&lt;M18),1,0),0),0)</f>
        <v>0</v>
      </c>
      <c r="Q19" s="37">
        <f>IF(K19=0,IF(D$13&gt;=O17,IF(AND(D$7&gt;=Q18,D$7&lt;N18),1,0),0),0)</f>
        <v>0</v>
      </c>
      <c r="R19" s="37">
        <f>IF(K19+P19=0,IF(D$13&lt;P17,IF(D$7&lt;O18,1,0),0),0)</f>
        <v>0</v>
      </c>
      <c r="S19" s="37">
        <f>IF(K19=0,IF(AND(D$13&gt;=P17,D$13&lt;Q17),IF(D$7&lt;P18,1,0),0),0)</f>
        <v>0</v>
      </c>
      <c r="T19" s="37">
        <f>IF(K19=0,IF(D$13&gt;=Q17,IF(D$7&lt;Q18,1,0),0),0)</f>
        <v>0</v>
      </c>
      <c r="V19" s="37" t="s">
        <v>178</v>
      </c>
      <c r="X19" s="34">
        <f>L19+M19+N19+O19+P19+Q19+R19+S19+T19</f>
        <v>0</v>
      </c>
    </row>
    <row r="20" spans="1:25" x14ac:dyDescent="0.2">
      <c r="A20" s="53"/>
      <c r="C20" s="54" t="str">
        <f>IF(D20=23,"ROUGE-ORANGÉ",IF(D20=24,"ROUGE",IF(D20=25,"ROUGE-POURPRE",IF(D20=26,"POURPRE-ROUGE",IF(D20=27,"POURPRE-ROUGE",IF(D20=28,"POURPRE",IF(D20=29,"POURPRE",IF(D20=30,"POURPRE-VIOLET",""))))))))</f>
        <v/>
      </c>
      <c r="D20" s="34" t="str">
        <f>IF(D8&gt;=Z10,25,IF(D8&gt;=Y10,26,IF(D8&gt;=X10,27,IF(D8&gt;=W10,28,IF(D8&gt;=V10,29,IF(D8&gt;=U10,30,IF(D8&gt;=N9,"",IF(D8&gt;=M9,23,IF(D8&gt;=L9,24,25)))))))))</f>
        <v/>
      </c>
      <c r="E20" s="34" t="str">
        <f>IF(D8&gt;=Z10,62,IF(D8&gt;=Y10,62.5,IF(D8&gt;=X10,63,IF(D8&gt;=W10,64,IF(D8&gt;=V10,65,IF(D8&gt;=U10,62,IF(D8&gt;=N9,"",IF(D8&gt;=M9,63,IF(D8&gt;=L9,62,62)))))))))</f>
        <v/>
      </c>
      <c r="K20" s="34">
        <v>30</v>
      </c>
      <c r="L20" s="34">
        <v>1.8</v>
      </c>
      <c r="M20" s="34">
        <v>4.0999999999999996</v>
      </c>
      <c r="N20" s="34">
        <v>2.2999999999999998</v>
      </c>
      <c r="O20" s="34">
        <v>4.4000000000000004</v>
      </c>
      <c r="P20" s="34">
        <v>2.6</v>
      </c>
      <c r="Q20" s="34">
        <v>4.8</v>
      </c>
      <c r="X20" s="34"/>
    </row>
    <row r="21" spans="1:25" x14ac:dyDescent="0.2">
      <c r="L21" s="34">
        <v>69</v>
      </c>
      <c r="M21" s="34">
        <v>57</v>
      </c>
      <c r="N21" s="34">
        <v>50</v>
      </c>
      <c r="O21" s="34">
        <v>36</v>
      </c>
      <c r="P21" s="34">
        <v>32</v>
      </c>
      <c r="Q21" s="34">
        <v>27</v>
      </c>
    </row>
    <row r="22" spans="1:25" x14ac:dyDescent="0.2">
      <c r="D22" s="34">
        <f>IF(C4=0,"",SUM(D17:D20))</f>
        <v>16</v>
      </c>
      <c r="K22" s="37">
        <f>ABS($D$22-K20)+$D$39</f>
        <v>15</v>
      </c>
      <c r="L22" s="37">
        <f>IF(K22=0,IF(D$13&lt;L20,IF(D$7&gt;=L21,1,0),0),0)</f>
        <v>0</v>
      </c>
      <c r="M22" s="37">
        <f>IF(K22=0,IF(AND(D$13&gt;=L20,D$13&lt;M20),IF(D$7&gt;=M21,1,0),0),0)</f>
        <v>0</v>
      </c>
      <c r="N22" s="37">
        <f>IF(K22=0,IF(D$13&gt;=M20,IF(D$7&gt;=N21,1,0),0),0)</f>
        <v>0</v>
      </c>
      <c r="O22" s="37">
        <f>IF(K22+M22=0,IF(D$13&lt;N20,IF(AND(D$7&gt;=O21,D$7&lt;L21),1,0),0),0)</f>
        <v>0</v>
      </c>
      <c r="P22" s="37">
        <f>IF(K22+N22=0,IF(AND(D$13&gt;=N20,D$13&lt;O20),IF(AND(D$7&gt;=P21,D$7&lt;M21),1,0),0),0)</f>
        <v>0</v>
      </c>
      <c r="Q22" s="37">
        <f>IF(K22=0,IF(D$13&gt;=O20,IF(AND(D$7&gt;=Q21,D$7&lt;N21),1,0),0),0)</f>
        <v>0</v>
      </c>
      <c r="R22" s="37">
        <f>IF(K22+P22=0,IF(D$13&lt;P20,IF(D$7&lt;O21,1,0),0),0)</f>
        <v>0</v>
      </c>
      <c r="S22" s="37">
        <f>IF(K22+Q22=0,IF(AND(D$13&gt;=P20,D$13&lt;Q20),IF(D$7&lt;P21,1,0),0),0)</f>
        <v>0</v>
      </c>
      <c r="T22" s="37">
        <f>IF(K22=0,IF(D$13&gt;=Q20,IF(D$7&lt;Q21,1,0),0),0)</f>
        <v>0</v>
      </c>
      <c r="V22" s="37" t="s">
        <v>179</v>
      </c>
      <c r="X22" s="34">
        <f>L22+M22+N22+O22+P22+Q22+R22+S22+T22</f>
        <v>0</v>
      </c>
    </row>
    <row r="23" spans="1:25" x14ac:dyDescent="0.2">
      <c r="C23" s="34" t="str">
        <f>IF(C4=0,"",C17&amp;C18&amp;C19&amp;C20)</f>
        <v>JAUNE-ORANGÉ</v>
      </c>
      <c r="K23" s="34">
        <v>1</v>
      </c>
      <c r="L23" s="34">
        <v>1.7</v>
      </c>
      <c r="M23" s="34">
        <v>3.7</v>
      </c>
      <c r="N23" s="34">
        <v>2</v>
      </c>
      <c r="O23" s="34">
        <v>3.9</v>
      </c>
      <c r="P23" s="34">
        <v>2.5</v>
      </c>
      <c r="Q23" s="34">
        <v>4.5999999999999996</v>
      </c>
      <c r="X23" s="34"/>
    </row>
    <row r="24" spans="1:25" x14ac:dyDescent="0.2">
      <c r="L24" s="34">
        <v>69</v>
      </c>
      <c r="M24" s="34">
        <v>57</v>
      </c>
      <c r="N24" s="34">
        <v>50</v>
      </c>
      <c r="O24" s="34">
        <v>36</v>
      </c>
      <c r="P24" s="34">
        <v>32</v>
      </c>
      <c r="Q24" s="34">
        <v>27</v>
      </c>
    </row>
    <row r="25" spans="1:25" x14ac:dyDescent="0.2">
      <c r="A25" s="37" t="str">
        <f>IF(C4=0,"",IF(E39=1,"   NEUTRE",IF(D39=1,"PRESQUE  NEUTRE","")))</f>
        <v xml:space="preserve">   NEUTRE</v>
      </c>
      <c r="K25" s="37">
        <f>ABS($D$22-K23)+$D$39</f>
        <v>16</v>
      </c>
      <c r="L25" s="37">
        <f>IF(K25=0,IF(D$13&lt;L23,IF(D$7&gt;=L24,1,0),0),0)</f>
        <v>0</v>
      </c>
      <c r="M25" s="37">
        <f>IF(K25=0,IF(AND(D$13&gt;=L23,D$13&lt;M23),IF(D$7&gt;=M24,1,0),0),0)</f>
        <v>0</v>
      </c>
      <c r="N25" s="37">
        <f>IF(K25=0,IF(D$13&gt;=M23,IF(D$7&gt;=N24,1,0),0),0)</f>
        <v>0</v>
      </c>
      <c r="O25" s="37">
        <f>IF(K25+M25=0,IF(D$13&lt;N23,IF(AND(D$7&gt;=O24,D$7&lt;L24),1,0),0),0)</f>
        <v>0</v>
      </c>
      <c r="P25" s="37">
        <f>IF(K25+N25=0,IF(AND(D$13&gt;=N23,D$13&lt;O23),IF(AND(D$7&gt;=P24,D$7&lt;M24),1,0),0),0)</f>
        <v>0</v>
      </c>
      <c r="Q25" s="37">
        <f>IF(K25=0,IF(D$13&gt;=O23,IF(AND(D$7&gt;=Q24,D$7&lt;N24),1,0),0),0)</f>
        <v>0</v>
      </c>
      <c r="R25" s="37">
        <f>IF(K25+P25=0,IF(D$13&lt;P23,IF(D$7&lt;O24,1,0),0),0)</f>
        <v>0</v>
      </c>
      <c r="S25" s="37">
        <f>IF(K25+Q25=0,IF(AND(D$13&gt;=P23,D$13&lt;Q23),IF(D$7&lt;P24,1,0),0),0)</f>
        <v>0</v>
      </c>
      <c r="T25" s="37">
        <f>IF(K25=0,IF(D$13&gt;=Q23,IF(D$7&lt;Q24,1,0),0),0)</f>
        <v>0</v>
      </c>
      <c r="V25" s="37" t="s">
        <v>180</v>
      </c>
      <c r="X25" s="34">
        <f>L25+M25+N25+O25+P25+Q25+R25+S25+T25</f>
        <v>0</v>
      </c>
    </row>
    <row r="26" spans="1:25" x14ac:dyDescent="0.2">
      <c r="B26" s="37" t="str">
        <f>IF(C4=0,"",B58&amp;B59&amp;B60&amp;B61&amp;B62&amp;C60&amp;S3&amp;D58&amp;D59&amp;D60&amp;D61&amp;D62)</f>
        <v xml:space="preserve">NOIR   </v>
      </c>
      <c r="K26" s="34">
        <v>2</v>
      </c>
      <c r="L26" s="34">
        <v>1.5</v>
      </c>
      <c r="M26" s="34">
        <v>3</v>
      </c>
      <c r="N26" s="34">
        <v>1.9</v>
      </c>
      <c r="O26" s="34">
        <v>3.5</v>
      </c>
      <c r="P26" s="34">
        <v>2.5</v>
      </c>
      <c r="Q26" s="34">
        <v>4.5999999999999996</v>
      </c>
      <c r="X26" s="34"/>
      <c r="Y26" s="34"/>
    </row>
    <row r="27" spans="1:25" x14ac:dyDescent="0.2">
      <c r="L27" s="34">
        <v>69</v>
      </c>
      <c r="M27" s="34">
        <v>57</v>
      </c>
      <c r="N27" s="34">
        <v>52</v>
      </c>
      <c r="O27" s="34">
        <v>36</v>
      </c>
      <c r="P27" s="34">
        <v>32</v>
      </c>
      <c r="Q27" s="34">
        <v>27</v>
      </c>
    </row>
    <row r="28" spans="1:25" x14ac:dyDescent="0.2">
      <c r="A28" s="37" t="str">
        <f>IF(D39=1,"",IF(X16=0,"","CHROMATIQUE  simple"))</f>
        <v/>
      </c>
      <c r="B28" s="45"/>
      <c r="K28" s="37">
        <f>ABS($D$22-K26)+$D$39</f>
        <v>15</v>
      </c>
      <c r="L28" s="37">
        <f>IF(K28=0,IF(D$13&lt;L26,IF(D$7&gt;=L27,1,0),0),0)</f>
        <v>0</v>
      </c>
      <c r="M28" s="37">
        <f>IF(K28=0,IF(AND(D$13&gt;=L26,D$13&lt;M26),IF(D$7&gt;=M27,1,0),0),0)</f>
        <v>0</v>
      </c>
      <c r="N28" s="37">
        <f>IF(K28=0,IF(D$13&gt;=M26,IF(D$7&gt;=N27,1,0),0),0)</f>
        <v>0</v>
      </c>
      <c r="O28" s="37">
        <f>IF(K28+M28=0,IF(D$13&lt;N26,IF(AND(D$7&gt;=O27,D$7&lt;L27),1,0),0),0)</f>
        <v>0</v>
      </c>
      <c r="P28" s="37">
        <f>IF(K28+N28=0,IF(AND(D$13&gt;=N26,D$13&lt;O26),IF(AND(D$7&gt;=P27,D$7&lt;M27),1,0),0),0)</f>
        <v>0</v>
      </c>
      <c r="Q28" s="37">
        <f>IF(K28=0,IF(D$13&gt;=O26,IF(AND(D$7&gt;=Q27,D$7&lt;N27),1,0),0),0)</f>
        <v>0</v>
      </c>
      <c r="R28" s="37">
        <f>IF(K28+P28=0,IF(D$13&lt;P26,IF(D$7&lt;O27,1,0),0),0)</f>
        <v>0</v>
      </c>
      <c r="S28" s="37">
        <f>IF(K28+Q28=0,IF(AND(D$13&gt;=P26,D$13&lt;Q26),IF(D$7&lt;P27,1,0),0),0)</f>
        <v>0</v>
      </c>
      <c r="T28" s="37">
        <f>IF(K28=0,IF(D$13&gt;=Q26,IF(D$7&lt;Q27,1,0),0),0)</f>
        <v>0</v>
      </c>
      <c r="V28" s="37" t="s">
        <v>181</v>
      </c>
      <c r="X28" s="34">
        <f>L28+M28+N28+O28+P28+Q28+R28+S28+T28</f>
        <v>0</v>
      </c>
    </row>
    <row r="29" spans="1:25" x14ac:dyDescent="0.2">
      <c r="B29" s="37" t="str">
        <f>R15&amp;S3&amp;U15</f>
        <v xml:space="preserve">   </v>
      </c>
      <c r="K29" s="34">
        <v>3</v>
      </c>
      <c r="L29" s="34">
        <v>1.7</v>
      </c>
      <c r="M29" s="34">
        <v>3.4</v>
      </c>
      <c r="N29" s="34">
        <v>2.2000000000000002</v>
      </c>
      <c r="O29" s="34">
        <v>4</v>
      </c>
      <c r="P29" s="34">
        <v>2.7</v>
      </c>
      <c r="Q29" s="34">
        <v>4.8</v>
      </c>
      <c r="X29" s="34"/>
    </row>
    <row r="30" spans="1:25" x14ac:dyDescent="0.2">
      <c r="L30" s="34">
        <v>69</v>
      </c>
      <c r="M30" s="34">
        <v>57</v>
      </c>
      <c r="N30" s="34">
        <v>52</v>
      </c>
      <c r="O30" s="34">
        <v>36</v>
      </c>
      <c r="P30" s="34">
        <v>32</v>
      </c>
      <c r="Q30" s="34">
        <v>27</v>
      </c>
    </row>
    <row r="31" spans="1:25" x14ac:dyDescent="0.2">
      <c r="A31" s="37" t="str">
        <f>IF(D41+I169=1,"CHROMATIQUE  SUPPLEMENTAIRE","")</f>
        <v/>
      </c>
      <c r="F31" s="37" t="str">
        <f>IF('F3'!C12=1,1,"")</f>
        <v/>
      </c>
      <c r="K31" s="37">
        <f>ABS($D$22-K29)+$D$39</f>
        <v>14</v>
      </c>
      <c r="L31" s="37">
        <f>IF(K31=0,IF(D$13&lt;L29,IF(D$7&gt;=L30,1,0),0),0)</f>
        <v>0</v>
      </c>
      <c r="M31" s="37">
        <f>IF(K31=0,IF(AND(D$13&gt;=L29,D$13&lt;M29),IF(D$7&gt;=M30,1,0),0),0)</f>
        <v>0</v>
      </c>
      <c r="N31" s="37">
        <f>IF(K31=0,IF(D$13&gt;=M29,IF(D$7&gt;=N30,1,0),0),0)</f>
        <v>0</v>
      </c>
      <c r="O31" s="37">
        <f>IF(K31+M31=0,IF(D$13&lt;N29,IF(AND(D$7&gt;=O30,D$7&lt;L30),1,0),0),0)</f>
        <v>0</v>
      </c>
      <c r="P31" s="37">
        <f>IF(K31+N31=0,IF(AND(D$13&gt;=N29,D$13&lt;O29),IF(AND(D$7&gt;=P30,D$7&lt;M30),1,0),0),0)</f>
        <v>0</v>
      </c>
      <c r="Q31" s="37">
        <f>IF(K31=0,IF(D$13&gt;=O29,IF(AND(D$7&gt;=Q30,D$7&lt;N30),1,0),0),0)</f>
        <v>0</v>
      </c>
      <c r="R31" s="37">
        <f>IF(K31+P31=0,IF(D$13&lt;P29,IF(D$7&lt;O30,1,0),0),0)</f>
        <v>0</v>
      </c>
      <c r="S31" s="37">
        <f>IF(K31+Q31=0,IF(AND(D$13&gt;=P29,D$13&lt;Q29),IF(D$7&lt;P30,1,0),0),0)</f>
        <v>0</v>
      </c>
      <c r="T31" s="37">
        <f>IF(K31=0,IF(D$13&gt;=Q29,IF(D$7&lt;Q30,1,0),0),0)</f>
        <v>0</v>
      </c>
      <c r="V31" s="37" t="s">
        <v>161</v>
      </c>
      <c r="X31" s="34">
        <f>L31+M31+N31+O31+P31+Q31+R31+S31+T31</f>
        <v>0</v>
      </c>
    </row>
    <row r="32" spans="1:25" x14ac:dyDescent="0.2">
      <c r="B32" s="37" t="str">
        <f>R108&amp;S3&amp;U108&amp;R169</f>
        <v xml:space="preserve">   </v>
      </c>
      <c r="F32" s="37" t="str">
        <f>IF('F3'!C13=1,1,"")</f>
        <v/>
      </c>
      <c r="K32" s="34">
        <v>4</v>
      </c>
      <c r="L32" s="34">
        <v>2</v>
      </c>
      <c r="M32" s="34">
        <v>4</v>
      </c>
      <c r="N32" s="34">
        <v>2.5</v>
      </c>
      <c r="O32" s="34">
        <v>4.5</v>
      </c>
      <c r="P32" s="34">
        <v>3</v>
      </c>
      <c r="Q32" s="34">
        <v>5.2</v>
      </c>
      <c r="X32" s="34"/>
    </row>
    <row r="33" spans="1:26" x14ac:dyDescent="0.2">
      <c r="F33" s="37" t="str">
        <f>IF('F3'!C14=1,1,"")</f>
        <v/>
      </c>
      <c r="L33" s="34">
        <v>69</v>
      </c>
      <c r="M33" s="34">
        <v>57</v>
      </c>
      <c r="N33" s="34">
        <v>52</v>
      </c>
      <c r="O33" s="34">
        <v>36</v>
      </c>
      <c r="P33" s="34">
        <v>34</v>
      </c>
      <c r="Q33" s="34">
        <v>27</v>
      </c>
    </row>
    <row r="34" spans="1:26" x14ac:dyDescent="0.2">
      <c r="F34" s="37" t="str">
        <f>IF('F3'!C15=1,1,"")</f>
        <v/>
      </c>
      <c r="K34" s="37">
        <f>ABS($D$22-K32)+$D$39</f>
        <v>13</v>
      </c>
      <c r="L34" s="37">
        <f>IF(K34=0,IF(D$13&lt;L32,IF(D$7&gt;=L33,1,0),0),0)</f>
        <v>0</v>
      </c>
      <c r="M34" s="37">
        <f>IF(K34=0,IF(AND(D$13&gt;=L32,D$13&lt;M32),IF(D$7&gt;=M33,1,0),0),0)</f>
        <v>0</v>
      </c>
      <c r="N34" s="37">
        <f>IF(K34=0,IF(D$13&gt;=M32,IF(D$7&gt;=N33,1,0),0),0)</f>
        <v>0</v>
      </c>
      <c r="O34" s="37">
        <f>IF(K34+M34=0,IF(D$13&lt;N32,IF(AND(D$7&gt;=O33,D$7&lt;L33),1,0),0),0)</f>
        <v>0</v>
      </c>
      <c r="P34" s="37">
        <f>IF(K34+N34=0,IF(AND(D$13&gt;=N32,D$13&lt;O32),IF(AND(D$7&gt;=P33,D$7&lt;M33),1,0),0),0)</f>
        <v>0</v>
      </c>
      <c r="Q34" s="37">
        <f>IF(K34=0,IF(D$13&gt;=O32,IF(AND(D$7&gt;=Q33,D$7&lt;N33),1,0),0),0)</f>
        <v>0</v>
      </c>
      <c r="R34" s="37">
        <f>IF(K34+P34=0,IF(D$13&lt;P32,IF(D$7&lt;O33,1,0),0),0)</f>
        <v>0</v>
      </c>
      <c r="S34" s="37">
        <f>IF(K34+Q34=0,IF(AND(D$13&gt;=P32,D$13&lt;Q32),IF(D$7&lt;P33,1,0),0),0)</f>
        <v>0</v>
      </c>
      <c r="T34" s="37">
        <f>IF(K34=0,IF(D$13&gt;=Q32,IF(D$7&lt;Q33,1,0),0),0)</f>
        <v>0</v>
      </c>
      <c r="V34" s="37" t="s">
        <v>162</v>
      </c>
      <c r="X34" s="34">
        <f>L34+M34+N34+O34+P34+Q34+R34+S34+T34</f>
        <v>0</v>
      </c>
    </row>
    <row r="35" spans="1:26" x14ac:dyDescent="0.2">
      <c r="D35" s="34">
        <f>IF(C4=0,"",SUM(E17:E20))</f>
        <v>84</v>
      </c>
      <c r="F35" s="37" t="str">
        <f>IF('F3'!C16=1,1,"")</f>
        <v/>
      </c>
      <c r="K35" s="34">
        <v>5</v>
      </c>
      <c r="L35" s="34">
        <v>2</v>
      </c>
      <c r="M35" s="34">
        <v>4</v>
      </c>
      <c r="N35" s="34">
        <v>2.6</v>
      </c>
      <c r="O35" s="34">
        <v>4.5</v>
      </c>
      <c r="P35" s="34">
        <v>3</v>
      </c>
      <c r="Q35" s="34">
        <v>5.2</v>
      </c>
      <c r="X35" s="34"/>
    </row>
    <row r="36" spans="1:26" x14ac:dyDescent="0.2">
      <c r="D36" s="34">
        <f>IF(D13&gt;9,1,0)</f>
        <v>0</v>
      </c>
      <c r="L36" s="34">
        <v>69</v>
      </c>
      <c r="M36" s="34">
        <v>62</v>
      </c>
      <c r="N36" s="34">
        <v>54</v>
      </c>
      <c r="O36" s="34">
        <v>38</v>
      </c>
      <c r="P36" s="34">
        <v>34</v>
      </c>
      <c r="Q36" s="34">
        <v>27</v>
      </c>
    </row>
    <row r="37" spans="1:26" x14ac:dyDescent="0.2">
      <c r="D37" s="34"/>
      <c r="K37" s="37">
        <f>ABS($D$22-K35)+$D$39</f>
        <v>12</v>
      </c>
      <c r="L37" s="37">
        <f>IF(K37=0,IF(D$13&lt;L35,IF(D$7&gt;=L36,1,0),0),0)</f>
        <v>0</v>
      </c>
      <c r="M37" s="37">
        <f>IF(K37=0,IF(AND(D$13&gt;=L35,D$13&lt;M35),IF(D$7&gt;=M36,1,0),0),0)</f>
        <v>0</v>
      </c>
      <c r="N37" s="37">
        <f>IF(K37=0,IF(D$13&gt;=M35,IF(D$7&gt;=N36,1,0),0),0)</f>
        <v>0</v>
      </c>
      <c r="O37" s="37">
        <f>IF(K37+M37=0,IF(D$13&lt;N35,IF(AND(D$7&gt;=O36,D$7&lt;L36),1,0),0),0)</f>
        <v>0</v>
      </c>
      <c r="P37" s="37">
        <f>IF(K37+N37=0,IF(AND(D$13&gt;=N35,D$13&lt;O35),IF(AND(D$7&gt;=P36,D$7&lt;M36),1,0),0),0)</f>
        <v>0</v>
      </c>
      <c r="Q37" s="37">
        <f>IF(K37=0,IF(D$13&gt;=O35,IF(AND(D$7&gt;=Q36,D$7&lt;N36),1,0),0),0)</f>
        <v>0</v>
      </c>
      <c r="R37" s="37">
        <f>IF(K37+P37=0,IF(D$13&lt;P35,IF(D$7&lt;O36,1,0),0),0)</f>
        <v>0</v>
      </c>
      <c r="S37" s="37">
        <f>IF(K37+Q37=0,IF(AND(D$13&gt;=P35,D$13&lt;Q35),IF(D$7&lt;P36,1,0),0),0)</f>
        <v>0</v>
      </c>
      <c r="T37" s="37">
        <f>IF(K37=0,IF(D$13&gt;=Q35,IF(D$7&lt;Q36,1,0),0),0)</f>
        <v>0</v>
      </c>
      <c r="V37" s="37" t="s">
        <v>163</v>
      </c>
      <c r="X37" s="34">
        <f>L37+M37+N37+O37+P37+Q37+R37+S37+T37</f>
        <v>0</v>
      </c>
    </row>
    <row r="38" spans="1:26" x14ac:dyDescent="0.2">
      <c r="D38" s="34"/>
      <c r="K38" s="34">
        <v>6</v>
      </c>
      <c r="L38" s="34">
        <v>1.7</v>
      </c>
      <c r="M38" s="34">
        <v>3.9</v>
      </c>
      <c r="N38" s="34">
        <v>2.2000000000000002</v>
      </c>
      <c r="O38" s="34">
        <v>4.5</v>
      </c>
      <c r="P38" s="34">
        <v>2.6</v>
      </c>
      <c r="Q38" s="34">
        <v>4.8</v>
      </c>
      <c r="X38" s="34"/>
      <c r="Y38" s="34"/>
      <c r="Z38" s="34"/>
    </row>
    <row r="39" spans="1:26" x14ac:dyDescent="0.2">
      <c r="B39" s="34"/>
      <c r="D39" s="34">
        <f>SUM(D51:E55)</f>
        <v>1</v>
      </c>
      <c r="E39" s="34">
        <f>SUM(D51:D55)</f>
        <v>1</v>
      </c>
      <c r="L39" s="34">
        <v>69</v>
      </c>
      <c r="M39" s="34">
        <v>66</v>
      </c>
      <c r="N39" s="34">
        <v>62</v>
      </c>
      <c r="O39" s="34">
        <v>38</v>
      </c>
      <c r="P39" s="34">
        <v>36</v>
      </c>
      <c r="Q39" s="34">
        <v>34</v>
      </c>
      <c r="R39" s="34"/>
      <c r="S39" s="34"/>
      <c r="T39" s="34"/>
    </row>
    <row r="40" spans="1:26" x14ac:dyDescent="0.2">
      <c r="D40" s="34">
        <f>X16</f>
        <v>0</v>
      </c>
      <c r="K40" s="37">
        <f>ABS($D$22-K38)+$D$39</f>
        <v>11</v>
      </c>
      <c r="L40" s="37">
        <f>IF(K40=0,IF(D$13&lt;L38,IF(D$7&gt;=L39,1,0),0),0)</f>
        <v>0</v>
      </c>
      <c r="M40" s="37">
        <f>IF(K40=0,IF(AND(D$13&gt;=L38,D$13&lt;M38),IF(D$7&gt;=M39,1,0),0),0)</f>
        <v>0</v>
      </c>
      <c r="N40" s="37">
        <f>IF(K40=0,IF(D$13&gt;=M38,IF(D$7&gt;=N39,1,0),0),0)</f>
        <v>0</v>
      </c>
      <c r="O40" s="37">
        <f>IF(K40+M40=0,IF(D$13&lt;N38,IF(AND(D$7&gt;=O39,D$7&lt;L39),1,0),0),0)</f>
        <v>0</v>
      </c>
      <c r="P40" s="37">
        <f>IF(K40+N40=0,IF(AND(D$13&gt;=N38,D$13&lt;O38),IF(AND(D$7&gt;=P39,D$7&lt;M39),1,0),0),0)</f>
        <v>0</v>
      </c>
      <c r="Q40" s="37">
        <f>IF(K40=0,IF(D$13&gt;=O38,IF(AND(D$7&gt;=Q39,D$7&lt;N39),1,0),0),0)</f>
        <v>0</v>
      </c>
      <c r="R40" s="37">
        <f>IF(K40+P40=0,IF(D$13&lt;P38,IF(D$7&lt;O39,1,0),0),0)</f>
        <v>0</v>
      </c>
      <c r="S40" s="37">
        <f>IF(K40+Q40=0,IF(AND(D$13&gt;=P38,D$13&lt;Q38),IF(D$7&lt;P39,1,0),0),0)</f>
        <v>0</v>
      </c>
      <c r="T40" s="37">
        <f>IF(K40=0,IF(D$13&gt;=Q38,IF(D$7&lt;Q39,1,0),0),0)</f>
        <v>0</v>
      </c>
      <c r="V40" s="37" t="s">
        <v>164</v>
      </c>
      <c r="X40" s="34">
        <f>L40+M40+N40+O40+P40+Q40+R40+S40+T40</f>
        <v>0</v>
      </c>
    </row>
    <row r="41" spans="1:26" x14ac:dyDescent="0.2">
      <c r="D41" s="34">
        <f>AH109</f>
        <v>0</v>
      </c>
      <c r="K41" s="34">
        <v>7</v>
      </c>
      <c r="L41" s="34">
        <v>1.5</v>
      </c>
      <c r="M41" s="34">
        <v>3.8</v>
      </c>
      <c r="N41" s="34">
        <v>2.2000000000000002</v>
      </c>
      <c r="O41" s="34">
        <v>4.5999999999999996</v>
      </c>
      <c r="P41" s="34">
        <v>2.5</v>
      </c>
      <c r="Q41" s="34">
        <v>4.5999999999999996</v>
      </c>
      <c r="X41" s="34"/>
    </row>
    <row r="42" spans="1:26" x14ac:dyDescent="0.2">
      <c r="D42" s="34">
        <f>I169</f>
        <v>0</v>
      </c>
      <c r="L42" s="34">
        <v>72</v>
      </c>
      <c r="M42" s="34">
        <v>70</v>
      </c>
      <c r="N42" s="34">
        <v>62</v>
      </c>
      <c r="O42" s="34">
        <v>41</v>
      </c>
      <c r="P42" s="34">
        <v>38</v>
      </c>
      <c r="Q42" s="34">
        <v>34</v>
      </c>
      <c r="R42" s="34"/>
      <c r="S42" s="34"/>
      <c r="T42" s="34"/>
    </row>
    <row r="43" spans="1:26" x14ac:dyDescent="0.2">
      <c r="K43" s="37">
        <f>ABS($D$22-K41)+$D$39</f>
        <v>10</v>
      </c>
      <c r="L43" s="37">
        <f>IF(K43=0,IF(D$13&lt;L41,IF(D$7&gt;=L42,1,0),0),0)</f>
        <v>0</v>
      </c>
      <c r="M43" s="37">
        <f>IF(K43=0,IF(AND(D$13&gt;=L41,D$13&lt;M41),IF(D$7&gt;=M42,1,0),0),0)</f>
        <v>0</v>
      </c>
      <c r="N43" s="37">
        <f>IF(K43=0,IF(D$13&gt;=M41,IF(D$7&gt;=N42,1,0),0),0)</f>
        <v>0</v>
      </c>
      <c r="O43" s="37">
        <f>IF(K43+M43=0,IF(D$13&lt;N41,IF(AND(D$7&gt;=O42,D$7&lt;L42),1,0),0),0)</f>
        <v>0</v>
      </c>
      <c r="P43" s="37">
        <f>IF(K43+N43+R43=0,IF(AND(D$13&gt;=N41,D$13&lt;O41),IF(AND(D$7&gt;=P42,D$7&lt;M42),1,0),0),0)</f>
        <v>0</v>
      </c>
      <c r="Q43" s="37">
        <f>IF(K43=0,IF(D$13&gt;=O41,IF(AND(D$7&gt;=Q42,D$7&lt;N42),1,0),0),0)</f>
        <v>0</v>
      </c>
      <c r="R43" s="37">
        <f>IF(K43=0,IF(D$13&lt;P41,IF(D$7&lt;O42,1,0),0),0)</f>
        <v>0</v>
      </c>
      <c r="S43" s="37">
        <f>IF(K43=0,IF(AND(D$13&gt;=P41,D$13&lt;Q41),IF(D$7&lt;P42,1,0),0),0)</f>
        <v>0</v>
      </c>
      <c r="T43" s="37">
        <f>IF(K43=0,IF(D$13&gt;=Q41,IF(D$7&lt;Q42,1,0),0),0)</f>
        <v>0</v>
      </c>
      <c r="V43" s="37" t="s">
        <v>165</v>
      </c>
      <c r="X43" s="34">
        <f>L43+M43+N43+O43+P43+Q43+R43+S43+T43</f>
        <v>0</v>
      </c>
    </row>
    <row r="44" spans="1:26" x14ac:dyDescent="0.2">
      <c r="K44" s="34">
        <v>8</v>
      </c>
      <c r="L44" s="34">
        <v>1.6</v>
      </c>
      <c r="M44" s="34">
        <v>3.9</v>
      </c>
      <c r="N44" s="34">
        <v>2.2999999999999998</v>
      </c>
      <c r="O44" s="34">
        <v>5</v>
      </c>
      <c r="P44" s="34">
        <v>2.5</v>
      </c>
      <c r="Q44" s="34">
        <v>4.5999999999999996</v>
      </c>
      <c r="X44" s="34"/>
    </row>
    <row r="45" spans="1:26" x14ac:dyDescent="0.2">
      <c r="L45" s="34">
        <v>72</v>
      </c>
      <c r="M45" s="34">
        <v>70</v>
      </c>
      <c r="N45" s="34">
        <v>64</v>
      </c>
      <c r="O45" s="34">
        <v>41</v>
      </c>
      <c r="P45" s="34">
        <v>38</v>
      </c>
      <c r="Q45" s="34">
        <v>36</v>
      </c>
      <c r="R45" s="34"/>
      <c r="S45" s="34"/>
      <c r="T45" s="34"/>
    </row>
    <row r="46" spans="1:26" ht="15.75" x14ac:dyDescent="0.25">
      <c r="A46" s="27"/>
      <c r="B46" s="18"/>
      <c r="C46" s="18"/>
      <c r="D46" s="18"/>
      <c r="K46" s="37">
        <f>ABS($D$22-K44)+$D$39</f>
        <v>9</v>
      </c>
      <c r="L46" s="37">
        <f>IF(K46=0,IF(D$13&lt;L44,IF(D$7&gt;=L45,1,0),0),0)</f>
        <v>0</v>
      </c>
      <c r="M46" s="37">
        <f>IF(K46=0,IF(AND(D$13&gt;=L44,D$13&lt;M44),IF(D$7&gt;=M45,1,0),0),0)</f>
        <v>0</v>
      </c>
      <c r="N46" s="37">
        <f>IF(K46=0,IF(D$13&gt;=M44,IF(D$7&gt;=N45,1,0),0),0)</f>
        <v>0</v>
      </c>
      <c r="O46" s="37">
        <f>IF(K46+M46=0,IF(D$13&lt;N44,IF(AND(D$7&gt;=O45,D$7&lt;L45),1,0),0),0)</f>
        <v>0</v>
      </c>
      <c r="P46" s="37">
        <f>IF(K46+N46+R46=0,IF(AND(D$13&gt;=N44,D$13&lt;O44),IF(AND(D$7&gt;=P45,D$7&lt;M45),1,0),0),0)</f>
        <v>0</v>
      </c>
      <c r="Q46" s="37">
        <f>IF(K46=0,IF(D$13&gt;=O44,IF(AND(D$7&gt;=Q45,D$7&lt;N45),1,0),0),0)</f>
        <v>0</v>
      </c>
      <c r="R46" s="37">
        <f>IF(K46=0,IF(D$13&lt;P44,IF(D$7&lt;O45,1,0),0),0)</f>
        <v>0</v>
      </c>
      <c r="S46" s="37">
        <f>IF(K46=0,IF(AND(D$13&gt;=P44,D$13&lt;Q44),IF(D$7&lt;P45,1,0),0),0)</f>
        <v>0</v>
      </c>
      <c r="T46" s="37">
        <f>IF(K46+Q46=0,IF(D$13&gt;=Q44,IF(D$7&lt;Q45,1,0),0),0)</f>
        <v>0</v>
      </c>
      <c r="V46" s="37" t="s">
        <v>166</v>
      </c>
      <c r="X46" s="34">
        <f>L46+M46+N46+O46+P46+Q46+R46+S46+T46</f>
        <v>0</v>
      </c>
    </row>
    <row r="47" spans="1:26" x14ac:dyDescent="0.2">
      <c r="K47" s="34">
        <v>9</v>
      </c>
      <c r="L47" s="34">
        <v>1.8</v>
      </c>
      <c r="M47" s="34">
        <v>4.3</v>
      </c>
      <c r="N47" s="34">
        <v>2.2999999999999998</v>
      </c>
      <c r="O47" s="34">
        <v>5</v>
      </c>
      <c r="P47" s="34">
        <v>2.5</v>
      </c>
      <c r="Q47" s="37">
        <v>4.5999999999999996</v>
      </c>
      <c r="X47" s="34"/>
    </row>
    <row r="48" spans="1:26" x14ac:dyDescent="0.2">
      <c r="D48" s="34">
        <f>IF(D7&gt;=L6,1,IF(D7&gt;=M6,2,IF(D7&gt;=N6,3,IF(D7&gt;=O6,4,IF(D7&gt;=V6,5,IF(D7&gt;=W6,6,IF(D7&gt;=X6,7,IF(D7&gt;=Y6,8,9))))))))</f>
        <v>9</v>
      </c>
      <c r="L48" s="34">
        <v>75</v>
      </c>
      <c r="M48" s="34">
        <v>73</v>
      </c>
      <c r="N48" s="34">
        <v>73</v>
      </c>
      <c r="O48" s="34">
        <v>41</v>
      </c>
      <c r="P48" s="34">
        <v>41</v>
      </c>
      <c r="Q48" s="34">
        <v>46</v>
      </c>
      <c r="R48" s="34"/>
      <c r="S48" s="34"/>
      <c r="T48" s="34"/>
    </row>
    <row r="49" spans="2:26" x14ac:dyDescent="0.2">
      <c r="D49" s="34">
        <f>IF(D7&gt;=O6,1,IF(D7&gt;=P6,3,IF(D7&gt;=R6,4,IF(D7&gt;=T6,7,IF(D7&gt;=V6,11,1)))))</f>
        <v>1</v>
      </c>
      <c r="E49" s="34">
        <f>IF(D7&gt;=O6,1,IF(D7&gt;=P6,6,IF(D7&gt;=R6,9,IF(D7&gt;=T6,15,IF(D7&gt;=V6,23,1)))))</f>
        <v>1</v>
      </c>
      <c r="K49" s="37">
        <f>ABS($D$22-K47)+$D$39</f>
        <v>8</v>
      </c>
      <c r="L49" s="37">
        <f>IF(K49=0,IF(D$13&lt;L47,IF(D$7&gt;=L48,1,0),0),0)</f>
        <v>0</v>
      </c>
      <c r="M49" s="37">
        <f>IF(K49=0,IF(AND(D$13&gt;=L47,D$13&lt;M47),IF(D$7&gt;=M48,1,0),0),0)</f>
        <v>0</v>
      </c>
      <c r="N49" s="37">
        <f>IF(K49=0,IF(D$13&gt;=M47,IF(D$7&gt;=N48,1,0),0),0)</f>
        <v>0</v>
      </c>
      <c r="O49" s="37">
        <f>IF(K49+M49=0,IF(D$13&lt;N47,IF(AND(D$7&gt;=O48,D$7&lt;L48),1,0),0),0)</f>
        <v>0</v>
      </c>
      <c r="P49" s="37">
        <f>IF(K49+T49=0,IF(AND(D$13&gt;=N47,D$13&lt;O47),IF(AND(D$7&gt;=P48,D$7&lt;M48),1,0),0),0)</f>
        <v>0</v>
      </c>
      <c r="Q49" s="37">
        <f>IF(K49=0,IF(D$13&gt;=O47,IF(AND(D$7&gt;=Q48,D$7&lt;N48),1,0),0),0)</f>
        <v>0</v>
      </c>
      <c r="R49" s="37">
        <f>IF(K49=0,IF(D$13&lt;P47,IF(D$7&lt;O48,1,0),0),0)</f>
        <v>0</v>
      </c>
      <c r="S49" s="37">
        <f>IF(K49=0,IF(AND(D$13&gt;=P47,D$13&lt;Q47),IF(D$7&lt;P48,1,0),0),0)</f>
        <v>0</v>
      </c>
      <c r="T49" s="37">
        <f>IF(K49=0,IF(D$13&gt;=Q47,IF(D$7&lt;Q48,1,0),0),0)</f>
        <v>0</v>
      </c>
      <c r="V49" s="37" t="s">
        <v>167</v>
      </c>
      <c r="X49" s="34">
        <f>L49+M49+N49+O49+P49+Q49+R49+S49+T49</f>
        <v>0</v>
      </c>
    </row>
    <row r="50" spans="2:26" x14ac:dyDescent="0.2">
      <c r="K50" s="34">
        <v>10</v>
      </c>
      <c r="L50" s="34">
        <v>4</v>
      </c>
      <c r="M50" s="34">
        <v>4.8</v>
      </c>
      <c r="N50" s="34">
        <v>6</v>
      </c>
      <c r="O50" s="34"/>
      <c r="P50" s="34">
        <v>5</v>
      </c>
      <c r="Q50" s="34">
        <v>6</v>
      </c>
      <c r="R50" s="34"/>
      <c r="S50" s="34">
        <v>5</v>
      </c>
      <c r="T50" s="34">
        <v>6</v>
      </c>
      <c r="X50" s="34"/>
    </row>
    <row r="51" spans="2:26" x14ac:dyDescent="0.2">
      <c r="D51" s="34">
        <f>IF(AND(D48=1,D13&lt;1),1,IF(AND(D48=2,D13&lt;0.25),1,IF(AND(D48=3,D13&lt;0.15),1,0)))</f>
        <v>0</v>
      </c>
      <c r="E51" s="34">
        <f>IF(D51=1,0,IF(D48=1,1,IF(AND(D48=2,D13&lt;1.2),1,IF(AND(D48=3,D13&lt;0.5),1,0))))</f>
        <v>0</v>
      </c>
      <c r="L51" s="34">
        <v>79</v>
      </c>
      <c r="M51" s="34">
        <v>79</v>
      </c>
      <c r="N51" s="34">
        <v>82</v>
      </c>
      <c r="O51" s="34"/>
      <c r="P51" s="34">
        <v>62</v>
      </c>
      <c r="Q51" s="34">
        <v>66</v>
      </c>
      <c r="R51" s="34"/>
      <c r="S51" s="34"/>
      <c r="T51" s="34"/>
    </row>
    <row r="52" spans="2:26" x14ac:dyDescent="0.2">
      <c r="D52" s="34">
        <f>IF(AND(D48=4,D13&lt;0.15),1,0)</f>
        <v>0</v>
      </c>
      <c r="E52" s="34">
        <f>IF(D52=1,0,IF(AND(D48=4,D13&lt;0.3),1,0))</f>
        <v>0</v>
      </c>
      <c r="K52" s="37">
        <f>ABS($D$22-K50)+$D$39</f>
        <v>7</v>
      </c>
      <c r="L52" s="37">
        <f>IF(K52=0,IF(AND(D$13&gt;=L50,D$13&lt;M50),IF(D$7&gt;=L51,1,0),0),0)</f>
        <v>0</v>
      </c>
      <c r="M52" s="37">
        <f>IF(K52=0,IF(AND(D$13&gt;=M50,D$13&lt;N50),IF(D$7&gt;=M51,1,0),0),0)</f>
        <v>0</v>
      </c>
      <c r="N52" s="37">
        <f>IF(K52=0,IF(D$13&gt;=N50,IF(D$7&gt;=N51,1,0),0),0)</f>
        <v>0</v>
      </c>
      <c r="P52" s="37">
        <f>IF(K52=0,IF(AND(D$13&gt;=P50,D$13&lt;Q50),IF(AND(D$7&gt;=P51,D$7&lt;M51),1,0),0),0)</f>
        <v>0</v>
      </c>
      <c r="Q52" s="37">
        <f>IF(K52=0,IF(D$13&gt;=Q50,IF(AND(D$7&gt;=Q51,D$7&lt;N51),1,0),0),0)</f>
        <v>0</v>
      </c>
      <c r="S52" s="37">
        <f>IF(K52=0,IF(AND(D$13&gt;=S50,D$13&lt;T50),IF(D$7&lt;P51,1,0),0),0)</f>
        <v>0</v>
      </c>
      <c r="T52" s="37">
        <f>IF(K52=0,IF(D$13&gt;=T50,IF(D$7&lt;Q51,1,0),0),0)</f>
        <v>0</v>
      </c>
      <c r="V52" s="37" t="s">
        <v>168</v>
      </c>
      <c r="X52" s="34">
        <f>L52+M52+N52+O52+P52+Q52+R52+S52+T52</f>
        <v>0</v>
      </c>
    </row>
    <row r="53" spans="2:26" x14ac:dyDescent="0.2">
      <c r="D53" s="34">
        <f>IF(AND(D48=5,D13/D49&lt;0.05),1,0)</f>
        <v>0</v>
      </c>
      <c r="E53" s="34">
        <f>IF(AND(D48=5,D53=0),IF(D13/E49&lt;0.05,1,0),0)</f>
        <v>0</v>
      </c>
      <c r="K53" s="34">
        <v>11</v>
      </c>
      <c r="L53" s="34">
        <v>4</v>
      </c>
      <c r="M53" s="34">
        <v>4.8</v>
      </c>
      <c r="N53" s="34">
        <v>6</v>
      </c>
      <c r="O53" s="34">
        <v>4</v>
      </c>
      <c r="P53" s="34">
        <v>4.5999999999999996</v>
      </c>
      <c r="Q53" s="34">
        <v>6</v>
      </c>
      <c r="R53" s="34"/>
      <c r="S53" s="34">
        <v>4.5999999999999996</v>
      </c>
      <c r="T53" s="34">
        <v>5.8</v>
      </c>
      <c r="X53" s="34"/>
    </row>
    <row r="54" spans="2:26" x14ac:dyDescent="0.2">
      <c r="D54" s="34">
        <f>IF(AND(D48=6,D13&lt;1),1,0)</f>
        <v>0</v>
      </c>
      <c r="E54" s="34">
        <f>IF(D54=1,0,IF(AND(D48=6,D13&lt;1.5),1,0))</f>
        <v>0</v>
      </c>
      <c r="L54" s="34">
        <v>79</v>
      </c>
      <c r="M54" s="34">
        <v>82</v>
      </c>
      <c r="N54" s="34">
        <v>82</v>
      </c>
      <c r="O54" s="34">
        <v>52</v>
      </c>
      <c r="P54" s="34">
        <v>62</v>
      </c>
      <c r="Q54" s="34">
        <v>66</v>
      </c>
      <c r="R54" s="34"/>
      <c r="S54" s="34"/>
      <c r="T54" s="34"/>
    </row>
    <row r="55" spans="2:26" x14ac:dyDescent="0.2">
      <c r="D55" s="34">
        <f>IF(AND(D48=9,D13&lt;1.5),1,IF(AND(D48=8,D13&lt;1),1,IF(AND(D48=7,D13&lt;1),1,0)))</f>
        <v>1</v>
      </c>
      <c r="E55" s="34">
        <f>IF(D55=1,0,IF(D48=9,1,IF(AND(D48=8,D13&lt;2.2),1,IF(AND(D48=7,D13&lt;1.5),1,0))))</f>
        <v>0</v>
      </c>
      <c r="K55" s="37">
        <f>ABS($D$22-K53)+$D$39</f>
        <v>6</v>
      </c>
      <c r="L55" s="37">
        <f>IF(K55=0,IF(AND(D$13&gt;=L53,D$13&lt;M53),IF(D$7&gt;=L54,1,0),0),0)</f>
        <v>0</v>
      </c>
      <c r="M55" s="37">
        <f>IF(K55=0,IF(AND(D$13&gt;=M53,D$13&lt;N53),IF(D$7&gt;=M54,1,0),0),0)</f>
        <v>0</v>
      </c>
      <c r="N55" s="37">
        <f>IF(K55=0,IF(D$13&gt;=N53,IF(D$7&gt;=N54,1,0),0),0)</f>
        <v>0</v>
      </c>
      <c r="O55" s="37">
        <f>IF(K55=0,IF(AND(D$13&gt;=O53,D$13&lt;P53),IF(AND(D$7&gt;=O54,D$7&lt;L54),1,0),0),0)</f>
        <v>0</v>
      </c>
      <c r="P55" s="37">
        <f>IF(K55+L55+T55=0,IF(AND(D$13&gt;=P53,D$13&lt;Q53),IF(AND(D$7&gt;=P54,D$7&lt;M54),1,0),0),0)</f>
        <v>0</v>
      </c>
      <c r="Q55" s="37">
        <f>IF(K55=0,IF(D$13&gt;=Q53,IF(AND(D$7&gt;=Q54,D$7&lt;N54),1,0),0),0)</f>
        <v>0</v>
      </c>
      <c r="S55" s="37">
        <f>IF(K55+Y55=0,IF(AND(D$13&gt;=S53,D$13&lt;T53),IF(D$7&lt;P54,1,0),0),0)</f>
        <v>0</v>
      </c>
      <c r="T55" s="37">
        <f>IF(K55=0,IF(D$13&gt;=T53,IF(D$7&lt;Q54,1,0),0),0)</f>
        <v>0</v>
      </c>
      <c r="V55" s="37" t="s">
        <v>168</v>
      </c>
      <c r="X55" s="34">
        <f>L55+M55+N55+O55+P55+Q55+R55+S55+T55</f>
        <v>0</v>
      </c>
      <c r="Y55" s="34">
        <f>IF(K55=0,IF(AND(($D$13-4.599)*($D$13-5)&lt;0,$D$7&lt;52),1,0),0)</f>
        <v>0</v>
      </c>
      <c r="Z55" s="34"/>
    </row>
    <row r="56" spans="2:26" x14ac:dyDescent="0.2">
      <c r="K56" s="34">
        <v>12</v>
      </c>
      <c r="L56" s="34">
        <v>4</v>
      </c>
      <c r="M56" s="34">
        <v>4.8</v>
      </c>
      <c r="N56" s="34">
        <v>6</v>
      </c>
      <c r="O56" s="34">
        <v>4</v>
      </c>
      <c r="P56" s="34">
        <v>4.5999999999999996</v>
      </c>
      <c r="Q56" s="34">
        <v>6</v>
      </c>
      <c r="R56" s="34"/>
      <c r="S56" s="34">
        <v>4.5999999999999996</v>
      </c>
      <c r="T56" s="34">
        <v>6</v>
      </c>
      <c r="X56" s="34"/>
      <c r="Y56" s="34"/>
      <c r="Z56" s="34"/>
    </row>
    <row r="57" spans="2:26" x14ac:dyDescent="0.2">
      <c r="L57" s="34">
        <v>79</v>
      </c>
      <c r="M57" s="34">
        <v>82</v>
      </c>
      <c r="N57" s="34">
        <v>82</v>
      </c>
      <c r="O57" s="34">
        <v>52</v>
      </c>
      <c r="P57" s="34">
        <v>64</v>
      </c>
      <c r="Q57" s="34">
        <v>70</v>
      </c>
      <c r="R57" s="34"/>
      <c r="S57" s="34"/>
      <c r="T57" s="34"/>
      <c r="Y57" s="34"/>
      <c r="Z57" s="34"/>
    </row>
    <row r="58" spans="2:26" x14ac:dyDescent="0.2">
      <c r="B58" s="37" t="str">
        <f>IF(D51+E51=1,"BLANC","")</f>
        <v/>
      </c>
      <c r="D58" s="37" t="str">
        <f>IF(E51=0,"",IF((D22-4)*(D22-6)&lt;=0,"bleuté",IF((D22-7)*(D22-9)&lt;=0,"verdâtre",IF((D22-10)*(D22-13)&lt;=0,"ivoire",IF((D22-14)*(D22-17)&lt;=0,"crème",IF((D22-18)*(D22-28)&lt;=0,"rosé",IF((D22-2)*(D22-3)&lt;=0,"violacé","pourpre")))))))</f>
        <v/>
      </c>
      <c r="K58" s="37">
        <f>ABS($D$22-K56)+$D$39</f>
        <v>5</v>
      </c>
      <c r="L58" s="37">
        <f>IF(K58=0,IF(AND(D$13&gt;=L56,D$13&lt;M56),IF(D$7&gt;=L57,1,0),0),0)</f>
        <v>0</v>
      </c>
      <c r="M58" s="37">
        <f>IF(K58=0,IF(AND(D$13&gt;=M56,D$13&lt;N56),IF(D$7&gt;=M57,1,0),0),0)</f>
        <v>0</v>
      </c>
      <c r="N58" s="37">
        <f>IF(K58=0,IF(D$13&gt;=N56,IF(D$7&gt;=N57,1,0),0),0)</f>
        <v>0</v>
      </c>
      <c r="O58" s="37">
        <f>IF(K58=0,IF(AND(D$13&gt;=O56,D$13&lt;P56),IF(AND(D$7&gt;=O57,D$7&lt;L57),1,0),0),0)</f>
        <v>0</v>
      </c>
      <c r="P58" s="37">
        <f>IF(K58+L58=0,IF(AND(D$13&gt;=P56,D$13&lt;Q56),IF(AND(D$7&gt;=P57,D$7&lt;M57),1,0),0),0)</f>
        <v>0</v>
      </c>
      <c r="Q58" s="37">
        <f>IF(K58=0,IF(D$13&gt;=Q56,IF(AND(D$7&gt;=Q57,D$7&lt;N57),1,0),0),0)</f>
        <v>0</v>
      </c>
      <c r="S58" s="37">
        <f>IF(K58+Y58=0,IF(AND(D$13&gt;=S56,D$13&lt;T56),IF(D$7&lt;P57,1,0),0),0)</f>
        <v>0</v>
      </c>
      <c r="T58" s="37">
        <f>IF(K58=0,IF(D$13&gt;=T56,IF(D$7&lt;Q57,1,0),0),0)</f>
        <v>0</v>
      </c>
      <c r="V58" s="37" t="s">
        <v>169</v>
      </c>
      <c r="X58" s="34">
        <f>L58+M58+N58+O58+P58+Q58+R58+S58+T58</f>
        <v>0</v>
      </c>
      <c r="Y58" s="34">
        <f>IF(K58=0,IF(AND(($D$13-4.599)*($D$13-5)&lt;0,$D$7&lt;52),1,0),0)</f>
        <v>0</v>
      </c>
      <c r="Z58" s="34"/>
    </row>
    <row r="59" spans="2:26" x14ac:dyDescent="0.2">
      <c r="B59" s="37" t="str">
        <f>IF(D52+E52=1,"BLANC-GRIS","")</f>
        <v/>
      </c>
      <c r="D59" s="37" t="str">
        <f>IF(E52=0,"",IF((D22-4)*(D22-6)&lt;=0,"bleuté",IF((D22-7)*(D22-9)&lt;=0,"verdâtre",IF((D22-10)*(D22-13)&lt;=0,"ivoire",IF((D22-14)*(D22-17)&lt;=0,"crème",IF((D22-18)*(D22-28)&lt;=0,"rosé",IF((D22-2)*(D22-3)&lt;=0,"violacé","pourpre")))))))</f>
        <v/>
      </c>
      <c r="K59" s="34">
        <v>13</v>
      </c>
      <c r="L59" s="34">
        <v>4</v>
      </c>
      <c r="M59" s="34">
        <v>4.8</v>
      </c>
      <c r="N59" s="34">
        <v>6</v>
      </c>
      <c r="O59" s="34">
        <v>4</v>
      </c>
      <c r="P59" s="34">
        <v>4.5999999999999996</v>
      </c>
      <c r="Q59" s="34">
        <v>6</v>
      </c>
      <c r="R59" s="34"/>
      <c r="S59" s="34">
        <v>4.5999999999999996</v>
      </c>
      <c r="T59" s="34">
        <v>5.8</v>
      </c>
      <c r="X59" s="34"/>
      <c r="Y59" s="34"/>
      <c r="Z59" s="34"/>
    </row>
    <row r="60" spans="2:26" x14ac:dyDescent="0.2">
      <c r="B60" s="37" t="str">
        <f>IF(D53+E53=1,"GRIS","")</f>
        <v/>
      </c>
      <c r="C60" s="37" t="str">
        <f>IF(E53=1,T3&amp;C17&amp;C18&amp;C19&amp;C20,"")</f>
        <v/>
      </c>
      <c r="D60" s="37" t="str">
        <f>IF(D53+E53&gt;0,IF(D7&gt;=P6,L3,IF(D7&gt;=Q6,M3,IF(D7&gt;=R6,N3,IF(D7&gt;=S6,O3,IF(D7&gt;=T6,P3,IF(D7&gt;=U6,Q3,IF(D7&gt;=V6,R3,""))))))),"")</f>
        <v/>
      </c>
      <c r="L60" s="34">
        <v>79</v>
      </c>
      <c r="M60" s="34">
        <v>82</v>
      </c>
      <c r="N60" s="34">
        <v>82</v>
      </c>
      <c r="O60" s="34">
        <v>52</v>
      </c>
      <c r="P60" s="34">
        <v>66</v>
      </c>
      <c r="Q60" s="34">
        <v>70</v>
      </c>
      <c r="R60" s="34"/>
      <c r="S60" s="34"/>
      <c r="T60" s="34"/>
      <c r="Y60" s="34"/>
      <c r="Z60" s="34"/>
    </row>
    <row r="61" spans="2:26" x14ac:dyDescent="0.2">
      <c r="B61" s="37" t="str">
        <f>IF(D54+E54=1,"NOIR-GRIS","")</f>
        <v/>
      </c>
      <c r="D61" s="37" t="str">
        <f>IF(E54=0,"",IF((D22-7)*(D22-13)&lt;=0,"verdâtre",IF((D22-14)*(D22-22)&lt;=0,"brun",IF((D22-4)*(D22-6)&lt;=0,"bleuté","violacé"))))</f>
        <v/>
      </c>
      <c r="K61" s="37">
        <f>ABS($D$22-K59)+$D$39</f>
        <v>4</v>
      </c>
      <c r="L61" s="37">
        <f>IF(K61=0,IF(AND(D$13&gt;=L59,D$13&lt;M59),IF(D$7&gt;=L60,1,0),0),0)</f>
        <v>0</v>
      </c>
      <c r="M61" s="37">
        <f>IF(K61=0,IF(AND(D$13&gt;=M59,D$13&lt;N59),IF(D$7&gt;=M60,1,0),0),0)</f>
        <v>0</v>
      </c>
      <c r="N61" s="37">
        <f>IF(K61=0,IF(D$13&gt;=N59,IF(D$7&gt;=N60,1,0),0),0)</f>
        <v>0</v>
      </c>
      <c r="O61" s="37">
        <f>IF(K61=0,IF(AND(D$13&gt;=O59,D$13&lt;P59),IF(AND(D$7&gt;=O60,D$7&lt;L60),1,0),0),0)</f>
        <v>0</v>
      </c>
      <c r="P61" s="37">
        <f>IF(K61+L61+T61=0,IF(AND(D$13&gt;=P59,D$13&lt;Q59),IF(AND(D$7&gt;=P60,D$7&lt;M60),1,0),0),0)</f>
        <v>0</v>
      </c>
      <c r="Q61" s="37">
        <f>IF(K61=0,IF(D$13&gt;=Q59,IF(AND(D$7&gt;=Q60,D$7&lt;N60),1,0),0),0)</f>
        <v>0</v>
      </c>
      <c r="S61" s="37">
        <f>IF(K61+Y61=0,IF(AND(D$13&gt;=S59,D$13&lt;T59),IF(D$7&lt;P60,1,0),0),0)</f>
        <v>0</v>
      </c>
      <c r="T61" s="37">
        <f>IF(K61=0,IF(D$13&gt;=T59,IF(D$7&lt;Q60,1,0),0),0)</f>
        <v>0</v>
      </c>
      <c r="V61" s="37" t="s">
        <v>169</v>
      </c>
      <c r="X61" s="34">
        <f>L61+M61+N61+O61+P61+Q61+R61+S61+T61</f>
        <v>0</v>
      </c>
      <c r="Y61" s="34">
        <f>IF(K61=0,IF(AND(($D$13-4.599)*($D$13-5)&lt;0,$D$7&lt;52),1,0),0)</f>
        <v>0</v>
      </c>
      <c r="Z61" s="34"/>
    </row>
    <row r="62" spans="2:26" x14ac:dyDescent="0.2">
      <c r="B62" s="37" t="str">
        <f>IF(D55+E55=1,"NOIR","")</f>
        <v>NOIR</v>
      </c>
      <c r="D62" s="37" t="str">
        <f>IF(E55=0,"",IF((D22-7)*(D22-13)&lt;=0,"verdâtre",IF((D22-14)*(D22-22)&lt;=0,"brun",IF((D22-4)*(D22-6)&lt;=0,"bleuté","violacé"))))</f>
        <v/>
      </c>
      <c r="K62" s="34">
        <v>14</v>
      </c>
      <c r="L62" s="34">
        <v>4</v>
      </c>
      <c r="M62" s="34">
        <v>4.8</v>
      </c>
      <c r="N62" s="34">
        <v>6</v>
      </c>
      <c r="O62" s="34">
        <v>4</v>
      </c>
      <c r="P62" s="34">
        <v>4.5999999999999996</v>
      </c>
      <c r="Q62" s="34">
        <v>6</v>
      </c>
      <c r="R62" s="34"/>
      <c r="S62" s="34">
        <v>4.5999999999999996</v>
      </c>
      <c r="T62" s="34">
        <v>5.8</v>
      </c>
      <c r="X62" s="34"/>
      <c r="Y62" s="34"/>
      <c r="Z62" s="34"/>
    </row>
    <row r="63" spans="2:26" x14ac:dyDescent="0.2">
      <c r="L63" s="34">
        <v>79</v>
      </c>
      <c r="M63" s="34">
        <v>82</v>
      </c>
      <c r="N63" s="34">
        <v>82</v>
      </c>
      <c r="O63" s="34">
        <v>52</v>
      </c>
      <c r="P63" s="34">
        <v>62</v>
      </c>
      <c r="Q63" s="34">
        <v>70</v>
      </c>
      <c r="R63" s="34"/>
      <c r="S63" s="34"/>
      <c r="T63" s="34"/>
      <c r="Y63" s="34"/>
      <c r="Z63" s="34"/>
    </row>
    <row r="64" spans="2:26" x14ac:dyDescent="0.2">
      <c r="K64" s="37">
        <f>ABS($D$22-K62)+$D$39</f>
        <v>3</v>
      </c>
      <c r="L64" s="37">
        <f>IF(K64=0,IF(AND(D$13&gt;=L62,D$13&lt;M62),IF(D$7&gt;=L63,1,0),0),0)</f>
        <v>0</v>
      </c>
      <c r="M64" s="37">
        <f>IF(K64=0,IF(AND(D$13&gt;=M62,D$13&lt;N62),IF(D$7&gt;=M63,1,0),0),0)</f>
        <v>0</v>
      </c>
      <c r="N64" s="37">
        <f>IF(K64=0,IF(D$13&gt;=N62,IF(D$7&gt;=N63,1,0),0),0)</f>
        <v>0</v>
      </c>
      <c r="O64" s="37">
        <f>IF(K64=0,IF(AND(D$13&gt;=O62,D$13&lt;P62),IF(AND(D$7&gt;=O63,D$7&lt;L63),1,0),0),0)</f>
        <v>0</v>
      </c>
      <c r="P64" s="37">
        <f>IF(K64+L64+T64=0,IF(AND(D$13&gt;=P62,D$13&lt;Q62),IF(AND(D$7&gt;=P63,D$7&lt;M63),1,0),0),0)</f>
        <v>0</v>
      </c>
      <c r="Q64" s="37">
        <f>IF(K64=0,IF(D$13&gt;=Q62,IF(AND(D$7&gt;=Q63,D$7&lt;N63),1,0),0),0)</f>
        <v>0</v>
      </c>
      <c r="S64" s="37">
        <f>IF(K64+Y64=0,IF(AND(D$13&gt;=S62,D$13&lt;T62),IF(D$7&lt;P63,1,0),0),0)</f>
        <v>0</v>
      </c>
      <c r="T64" s="37">
        <f>IF(K64=0,IF(D$13&gt;=T62,IF(D$7&lt;Q63,1,0),0),0)</f>
        <v>0</v>
      </c>
      <c r="V64" s="37" t="s">
        <v>169</v>
      </c>
      <c r="X64" s="34">
        <f>L64+M64+N64+O64+P64+Q64+R64+S64+T64</f>
        <v>0</v>
      </c>
      <c r="Y64" s="34">
        <f>IF(K64=0,IF(AND(($D$13-4.599)*($D$13-5)&lt;0,$D$7&lt;52),1,0),0)</f>
        <v>0</v>
      </c>
      <c r="Z64" s="34"/>
    </row>
    <row r="65" spans="11:26" x14ac:dyDescent="0.2">
      <c r="K65" s="34">
        <v>15</v>
      </c>
      <c r="L65" s="34">
        <v>4</v>
      </c>
      <c r="M65" s="34">
        <v>4.8</v>
      </c>
      <c r="N65" s="34">
        <v>5.8</v>
      </c>
      <c r="O65" s="34">
        <v>4</v>
      </c>
      <c r="P65" s="34">
        <v>4.5999999999999996</v>
      </c>
      <c r="Q65" s="34">
        <v>6</v>
      </c>
      <c r="R65" s="34"/>
      <c r="S65" s="34">
        <v>4.5999999999999996</v>
      </c>
      <c r="T65" s="34">
        <v>5.8</v>
      </c>
      <c r="X65" s="34"/>
      <c r="Y65" s="34"/>
      <c r="Z65" s="34"/>
    </row>
    <row r="66" spans="11:26" x14ac:dyDescent="0.2">
      <c r="L66" s="34">
        <v>79</v>
      </c>
      <c r="M66" s="34">
        <v>80</v>
      </c>
      <c r="N66" s="34">
        <v>80</v>
      </c>
      <c r="O66" s="34">
        <v>52</v>
      </c>
      <c r="P66" s="34">
        <v>57</v>
      </c>
      <c r="Q66" s="34">
        <v>64</v>
      </c>
      <c r="R66" s="34"/>
      <c r="S66" s="34"/>
      <c r="T66" s="34"/>
      <c r="Y66" s="34"/>
      <c r="Z66" s="34"/>
    </row>
    <row r="67" spans="11:26" x14ac:dyDescent="0.2">
      <c r="K67" s="37">
        <f>ABS($D$22-K65)+$D$39</f>
        <v>2</v>
      </c>
      <c r="L67" s="37">
        <f>IF(K67=0,IF(AND(D$13&gt;=L65,D$13&lt;M65),IF(D$7&gt;=L66,1,0),0),0)</f>
        <v>0</v>
      </c>
      <c r="M67" s="37">
        <f>IF(K67=0,IF(AND(D$13&gt;=M65,D$13&lt;N65),IF(D$7&gt;=M66,1,0),0),0)</f>
        <v>0</v>
      </c>
      <c r="N67" s="37">
        <f>IF(K67=0,IF(D$13&gt;=N65,IF(D$7&gt;=N66,1,0),0),0)</f>
        <v>0</v>
      </c>
      <c r="O67" s="37">
        <f>IF(K67=0,IF(AND(D$13&gt;=O65,D$13&lt;P65),IF(AND(D$7&gt;=O66,D$7&lt;L66),1,0),0),0)</f>
        <v>0</v>
      </c>
      <c r="P67" s="37">
        <f>IF(K67+L67+T67=0,IF(AND(D$13&gt;=P65,D$13&lt;Q65),IF(AND(D$7&gt;=P66,D$7&lt;M66),1,0),0),0)</f>
        <v>0</v>
      </c>
      <c r="Q67" s="37">
        <f>IF(K67=0,IF(D$13&gt;=Q65,IF(AND(D$7&gt;=Q66,D$7&lt;N66),1,0),0),0)</f>
        <v>0</v>
      </c>
      <c r="S67" s="37">
        <f>IF(K67+Y67=0,IF(AND(D$13&gt;=S65,D$13&lt;T65),IF(D$7&lt;P66,1,0),0),0)</f>
        <v>0</v>
      </c>
      <c r="T67" s="37">
        <f>IF(K67=0,IF(D$13&gt;=T65,IF(D$7&lt;Q66,1,0),0),0)</f>
        <v>0</v>
      </c>
      <c r="V67" s="37" t="s">
        <v>170</v>
      </c>
      <c r="X67" s="34">
        <f>L67+M67+N67+O67+P67+Q67+R67+S67+T67</f>
        <v>0</v>
      </c>
      <c r="Y67" s="34">
        <f>IF(K67=0,IF(AND(($D$13-4.599)*($D$13-5)&lt;0,$D$7&lt;52),1,0),0)</f>
        <v>0</v>
      </c>
      <c r="Z67" s="34"/>
    </row>
    <row r="68" spans="11:26" x14ac:dyDescent="0.2">
      <c r="K68" s="34">
        <v>16</v>
      </c>
      <c r="L68" s="34"/>
      <c r="M68" s="34">
        <v>4.7</v>
      </c>
      <c r="N68" s="34">
        <v>5.8</v>
      </c>
      <c r="O68" s="34">
        <v>4</v>
      </c>
      <c r="P68" s="34">
        <v>4.7</v>
      </c>
      <c r="Q68" s="34">
        <v>6</v>
      </c>
      <c r="R68" s="34"/>
      <c r="S68" s="34">
        <v>4.7</v>
      </c>
      <c r="T68" s="34">
        <v>5.8</v>
      </c>
      <c r="X68" s="34"/>
      <c r="Y68" s="34"/>
      <c r="Z68" s="34"/>
    </row>
    <row r="69" spans="11:26" x14ac:dyDescent="0.2">
      <c r="L69" s="34">
        <v>79</v>
      </c>
      <c r="M69" s="34">
        <v>76</v>
      </c>
      <c r="N69" s="34">
        <v>76</v>
      </c>
      <c r="O69" s="34">
        <v>52</v>
      </c>
      <c r="P69" s="34">
        <v>57</v>
      </c>
      <c r="Q69" s="34">
        <v>62</v>
      </c>
      <c r="R69" s="34"/>
      <c r="S69" s="34"/>
      <c r="T69" s="34"/>
      <c r="Y69" s="34"/>
      <c r="Z69" s="34"/>
    </row>
    <row r="70" spans="11:26" x14ac:dyDescent="0.2">
      <c r="K70" s="37">
        <f>ABS($D$22-K68)+$D$39</f>
        <v>1</v>
      </c>
      <c r="M70" s="37">
        <f>IF(K70+Z70=0,IF(AND(D$13&gt;=M68,D$13&lt;N68),IF(D$7&gt;=M69,1,0),0),0)</f>
        <v>0</v>
      </c>
      <c r="N70" s="37">
        <f>IF(K70=0,IF(D$13&gt;=N68,IF(D$7&gt;=N69,1,0),0),0)</f>
        <v>0</v>
      </c>
      <c r="O70" s="37">
        <f>IF(K70=0,IF(AND(D$13&gt;=O68,D$13&lt;P68),IF(AND(D$7&gt;=O69,D$7&lt;L69),1,0),0),0)</f>
        <v>0</v>
      </c>
      <c r="P70" s="37">
        <f>IF(K70+T70=0,IF(AND(D$13&gt;=P68,D$13&lt;Q68),IF(AND(D$7&gt;=P69,D$7&lt;M69),1,0),0),0)</f>
        <v>0</v>
      </c>
      <c r="Q70" s="37">
        <f>IF(K70=0,IF(D$13&gt;=Q68,IF(AND(D$7&gt;=Q69,D$7&lt;N69),1,0),0),0)</f>
        <v>0</v>
      </c>
      <c r="S70" s="37">
        <f>IF(K70+Y70=0,IF(AND(D$13&gt;=S68,D$13&lt;T68),IF(D$7&lt;P69,1,0),0),0)</f>
        <v>0</v>
      </c>
      <c r="T70" s="37">
        <f>IF(K70=0,IF(D$13&gt;=T68,IF(D$7&lt;Q69,1,0),0),0)</f>
        <v>0</v>
      </c>
      <c r="V70" s="37" t="s">
        <v>170</v>
      </c>
      <c r="X70" s="34">
        <f>L70+M70+N70+O70+P70+Q70+R70+S70+T70</f>
        <v>0</v>
      </c>
      <c r="Y70" s="34">
        <f>IF(K70=0,IF(AND(($D$13-4.599)*($D$13-5)&lt;0,$D$7&lt;52),1,0),0)</f>
        <v>0</v>
      </c>
      <c r="Z70" s="34">
        <f>IF(K70=0,IF(AND(($D$13-4.699)*($D$13-5)&lt;0,$D$7&gt;=79),1,0),0)</f>
        <v>0</v>
      </c>
    </row>
    <row r="71" spans="11:26" x14ac:dyDescent="0.2">
      <c r="K71" s="34">
        <v>17</v>
      </c>
      <c r="L71" s="34"/>
      <c r="M71" s="34">
        <v>4.7</v>
      </c>
      <c r="N71" s="34">
        <v>5.9</v>
      </c>
      <c r="O71" s="34">
        <v>4</v>
      </c>
      <c r="P71" s="34">
        <v>4.7</v>
      </c>
      <c r="Q71" s="34">
        <v>6</v>
      </c>
      <c r="R71" s="34"/>
      <c r="S71" s="34">
        <v>4.7</v>
      </c>
      <c r="T71" s="34">
        <v>5.8</v>
      </c>
      <c r="X71" s="34"/>
      <c r="Y71" s="34"/>
      <c r="Z71" s="34"/>
    </row>
    <row r="72" spans="11:26" x14ac:dyDescent="0.2">
      <c r="L72" s="34">
        <v>79</v>
      </c>
      <c r="M72" s="34">
        <v>73</v>
      </c>
      <c r="N72" s="34">
        <v>73</v>
      </c>
      <c r="O72" s="34">
        <v>52</v>
      </c>
      <c r="P72" s="34">
        <v>54</v>
      </c>
      <c r="Q72" s="34">
        <v>57</v>
      </c>
      <c r="R72" s="34"/>
      <c r="S72" s="34"/>
      <c r="T72" s="34"/>
      <c r="Y72" s="34"/>
      <c r="Z72" s="34"/>
    </row>
    <row r="73" spans="11:26" x14ac:dyDescent="0.2">
      <c r="K73" s="37">
        <f>ABS($D$22-K71)+$D$39</f>
        <v>2</v>
      </c>
      <c r="M73" s="37">
        <f>IF(K73+Z73=0,IF(AND(D$13&gt;=M71,D$13&lt;N71),IF(D$7&gt;=M72,1,0),0),0)</f>
        <v>0</v>
      </c>
      <c r="N73" s="37">
        <f>IF(K73=0,IF(D$13&gt;=N71,IF(D$7&gt;=N72,1,0),0),0)</f>
        <v>0</v>
      </c>
      <c r="O73" s="37">
        <f>IF(K73=0,IF(AND(D$13&gt;=O71,D$13&lt;P71),IF(AND(D$7&gt;=O72,D$7&lt;L72),1,0),0),0)</f>
        <v>0</v>
      </c>
      <c r="P73" s="37">
        <f>IF(K73+T73=0,IF(AND(D$13&gt;=P71,D$13&lt;Q71),IF(AND(D$7&gt;=P72,D$7&lt;M72),1,0),0),0)</f>
        <v>0</v>
      </c>
      <c r="Q73" s="37">
        <f>IF(K73=0,IF(D$13&gt;=Q71,IF(AND(D$7&gt;=Q72,D$7&lt;N72),1,0),0),0)</f>
        <v>0</v>
      </c>
      <c r="S73" s="37">
        <f>IF(K73+Y73=0,IF(AND(D$13&gt;=S71,D$13&lt;T71),IF(D$7&lt;P72,1,0),0),0)</f>
        <v>0</v>
      </c>
      <c r="T73" s="37">
        <f>IF(K73=0,IF(D$13&gt;=T71,IF(D$7&lt;Q72,1,0),0),0)</f>
        <v>0</v>
      </c>
      <c r="V73" s="37" t="s">
        <v>171</v>
      </c>
      <c r="X73" s="34">
        <f>L73+M73+N73+O73+P73+Q73+R73+S73+T73</f>
        <v>0</v>
      </c>
      <c r="Y73" s="34">
        <f>IF(K73=0,IF(AND(($D$13-4.699)*($D$13-5)&lt;0,$D$7&lt;52),1,0),0)</f>
        <v>0</v>
      </c>
      <c r="Z73" s="34">
        <f>IF(K73=0,IF(AND(($D$13-4.699)*($D$13-5)&lt;0,$D$7&gt;=79),1,0),0)</f>
        <v>0</v>
      </c>
    </row>
    <row r="74" spans="11:26" x14ac:dyDescent="0.2">
      <c r="K74" s="34">
        <v>18</v>
      </c>
      <c r="L74" s="34"/>
      <c r="M74" s="34">
        <v>4.7</v>
      </c>
      <c r="N74" s="34">
        <v>5.8</v>
      </c>
      <c r="O74" s="34">
        <v>4</v>
      </c>
      <c r="P74" s="34">
        <v>4.7</v>
      </c>
      <c r="Q74" s="34">
        <v>6</v>
      </c>
      <c r="R74" s="34"/>
      <c r="S74" s="34">
        <v>5</v>
      </c>
      <c r="T74" s="34">
        <v>5.8</v>
      </c>
      <c r="X74" s="34"/>
      <c r="Y74" s="34"/>
      <c r="Z74" s="34"/>
    </row>
    <row r="75" spans="11:26" x14ac:dyDescent="0.2">
      <c r="L75" s="34">
        <v>79</v>
      </c>
      <c r="M75" s="34">
        <v>72</v>
      </c>
      <c r="N75" s="34">
        <v>72</v>
      </c>
      <c r="O75" s="34">
        <v>52</v>
      </c>
      <c r="P75" s="34">
        <v>52</v>
      </c>
      <c r="Q75" s="34">
        <v>57</v>
      </c>
      <c r="R75" s="34"/>
      <c r="S75" s="34"/>
      <c r="T75" s="34"/>
      <c r="Y75" s="34"/>
      <c r="Z75" s="34"/>
    </row>
    <row r="76" spans="11:26" x14ac:dyDescent="0.2">
      <c r="K76" s="37">
        <f>ABS($D$22-K74)+$D$39</f>
        <v>3</v>
      </c>
      <c r="M76" s="37">
        <f>IF(K76+Z76=0,IF(AND(D$13&gt;=M74,D$13&lt;N74),IF(D$7&gt;=M75,1,0),0),0)</f>
        <v>0</v>
      </c>
      <c r="N76" s="37">
        <f>IF(K76=0,IF(D$13&gt;=N74,IF(D$7&gt;=N75,1,0),0),0)</f>
        <v>0</v>
      </c>
      <c r="O76" s="37">
        <f>IF(K76=0,IF(AND(D$13&gt;=O74,D$13&lt;P74),IF(AND(D$7&gt;=O75,D$7&lt;L75),1,0),0),0)</f>
        <v>0</v>
      </c>
      <c r="P76" s="37">
        <f>IF(K76+T76=0,IF(AND(D$13&gt;=P74,D$13&lt;Q74),IF(AND(D$7&gt;=P75,D$7&lt;M75),1,0),0),0)</f>
        <v>0</v>
      </c>
      <c r="Q76" s="37">
        <f>IF(K76=0,IF(D$13&gt;=Q74,IF(AND(D$7&gt;=Q75,D$7&lt;N75),1,0),0),0)</f>
        <v>0</v>
      </c>
      <c r="S76" s="37">
        <f>IF(K76=0,IF(AND(D$13&gt;=S74,D$13&lt;T74),IF(D$7&lt;P75,1,0),0),0)</f>
        <v>0</v>
      </c>
      <c r="T76" s="37">
        <f>IF(K76=0,IF(D$13&gt;=T74,IF(D$7&lt;Q75,1,0),0),0)</f>
        <v>0</v>
      </c>
      <c r="V76" s="37" t="s">
        <v>171</v>
      </c>
      <c r="X76" s="34">
        <f>L76+M76+N76+O76+P76+Q76+R76+S76+T76</f>
        <v>0</v>
      </c>
      <c r="Y76" s="34"/>
      <c r="Z76" s="34">
        <f>IF(K76=0,IF(AND(($D$13-4.699)*($D$13-5)&lt;0,$D$7&gt;=79),1,0),0)</f>
        <v>0</v>
      </c>
    </row>
    <row r="77" spans="11:26" x14ac:dyDescent="0.2">
      <c r="K77" s="34">
        <v>19</v>
      </c>
      <c r="L77" s="34"/>
      <c r="M77" s="34">
        <v>4</v>
      </c>
      <c r="N77" s="34">
        <v>5.8</v>
      </c>
      <c r="O77" s="34">
        <v>4</v>
      </c>
      <c r="P77" s="34">
        <v>4.7</v>
      </c>
      <c r="Q77" s="34">
        <v>6</v>
      </c>
      <c r="R77" s="34"/>
      <c r="S77" s="34">
        <v>5</v>
      </c>
      <c r="T77" s="34">
        <v>5.8</v>
      </c>
      <c r="X77" s="34"/>
      <c r="Y77" s="34"/>
      <c r="Z77" s="34"/>
    </row>
    <row r="78" spans="11:26" x14ac:dyDescent="0.2">
      <c r="L78" s="34">
        <v>79</v>
      </c>
      <c r="M78" s="34">
        <v>72</v>
      </c>
      <c r="N78" s="34">
        <v>70</v>
      </c>
      <c r="O78" s="34">
        <v>52</v>
      </c>
      <c r="P78" s="34">
        <v>52</v>
      </c>
      <c r="Q78" s="34">
        <v>54</v>
      </c>
      <c r="R78" s="34"/>
      <c r="S78" s="34"/>
      <c r="T78" s="34"/>
      <c r="Y78" s="34"/>
      <c r="Z78" s="34"/>
    </row>
    <row r="79" spans="11:26" x14ac:dyDescent="0.2">
      <c r="K79" s="37">
        <f>ABS($D$22-K77)+$D$39</f>
        <v>4</v>
      </c>
      <c r="M79" s="37">
        <f>IF(K79+Z79=0,IF(AND(D$13&gt;=M77,D$13&lt;N77),IF(D$7&gt;=M78,1,0),0),0)</f>
        <v>0</v>
      </c>
      <c r="N79" s="37">
        <f>IF(K79=0,IF(D$13&gt;=N77,IF(D$7&gt;=N78,1,0),0),0)</f>
        <v>0</v>
      </c>
      <c r="O79" s="37">
        <f>IF(K79=0,IF(AND(D$13&gt;=O77,D$13&lt;P77),IF(AND(D$7&gt;=O78,D$7&lt;L78),1,0),0),0)</f>
        <v>0</v>
      </c>
      <c r="P79" s="37">
        <f>IF(K79+N79+T79=0,IF(AND(D$13&gt;=P77,D$13&lt;Q77),IF(AND(D$7&gt;=P78,D$7&lt;M78),1,0),0),0)</f>
        <v>0</v>
      </c>
      <c r="Q79" s="37">
        <f>IF(K79=0,IF(D$13&gt;=Q77,IF(AND(D$7&gt;=Q78,D$7&lt;N78),1,0),0),0)</f>
        <v>0</v>
      </c>
      <c r="S79" s="37">
        <f>IF(K79=0,IF(AND(D$13&gt;=S77,D$13&lt;T77),IF(D$7&lt;P78,1,0),0),0)</f>
        <v>0</v>
      </c>
      <c r="T79" s="37">
        <f>IF(K79=0,IF(D$13&gt;=T77,IF(D$7&lt;Q78,1,0),0),0)</f>
        <v>0</v>
      </c>
      <c r="V79" s="37" t="s">
        <v>172</v>
      </c>
      <c r="X79" s="34">
        <f>L79+M79+N79+O79+P79+Q79+R79+S79+T79</f>
        <v>0</v>
      </c>
      <c r="Y79" s="34"/>
      <c r="Z79" s="34">
        <f>IF(K79=0,IF(AND(($D$13-3.999)*($D$13-5)&lt;0,$D$7&gt;=79),1,0),0)</f>
        <v>0</v>
      </c>
    </row>
    <row r="80" spans="11:26" x14ac:dyDescent="0.2">
      <c r="K80" s="34">
        <v>20</v>
      </c>
      <c r="L80" s="34"/>
      <c r="M80" s="34">
        <v>4</v>
      </c>
      <c r="N80" s="34">
        <v>5.8</v>
      </c>
      <c r="O80" s="34">
        <v>4</v>
      </c>
      <c r="P80" s="34">
        <v>4.7</v>
      </c>
      <c r="Q80" s="34">
        <v>6.1</v>
      </c>
      <c r="R80" s="34"/>
      <c r="S80" s="34">
        <v>4.7</v>
      </c>
      <c r="T80" s="34">
        <v>5.8</v>
      </c>
      <c r="X80" s="34"/>
      <c r="Y80" s="34"/>
      <c r="Z80" s="34"/>
    </row>
    <row r="81" spans="11:26" x14ac:dyDescent="0.2">
      <c r="L81" s="34">
        <v>79</v>
      </c>
      <c r="M81" s="34">
        <v>70</v>
      </c>
      <c r="N81" s="34">
        <v>66</v>
      </c>
      <c r="O81" s="34">
        <v>46</v>
      </c>
      <c r="P81" s="34">
        <v>48</v>
      </c>
      <c r="Q81" s="34">
        <v>48</v>
      </c>
      <c r="R81" s="34"/>
      <c r="S81" s="34"/>
      <c r="T81" s="34"/>
      <c r="Y81" s="34"/>
      <c r="Z81" s="34"/>
    </row>
    <row r="82" spans="11:26" x14ac:dyDescent="0.2">
      <c r="K82" s="37">
        <f>ABS($D$22-K80)+$D$39</f>
        <v>5</v>
      </c>
      <c r="M82" s="37">
        <f>IF(K82+Z82=0,IF(AND(D$13&gt;=M80,D$13&lt;N80),IF(D$7&gt;=M81,1,0),0),0)</f>
        <v>0</v>
      </c>
      <c r="N82" s="37">
        <f>IF(K82=0,IF(D$13&gt;=N80,IF(D$7&gt;=N81,1,0),0),0)</f>
        <v>0</v>
      </c>
      <c r="O82" s="37">
        <f>IF(K82=0,IF(AND(D$13&gt;=O80,D$13&lt;P80),IF(AND(D$7&gt;=O81,D$7&lt;L81),1,0),0),0)</f>
        <v>0</v>
      </c>
      <c r="P82" s="37">
        <f>IF(K82+N82=0,IF(AND(D$13&gt;=P80,D$13&lt;Q80),IF(AND(D$7&gt;=P81,D$7&lt;M81),1,0),0),0)</f>
        <v>0</v>
      </c>
      <c r="Q82" s="37">
        <f>IF(K82=0,IF(D$13&gt;=Q80,IF(AND(D$7&gt;=Q81,D$7&lt;N81),1,0),0),0)</f>
        <v>0</v>
      </c>
      <c r="S82" s="37">
        <f>IF(K82+Y82=0,IF(AND(D$13&gt;=S80,D$13&lt;T80),IF(D$7&lt;P81,1,0),0),0)</f>
        <v>0</v>
      </c>
      <c r="T82" s="37">
        <f>IF(K82=0,IF(D$13&gt;=T80,IF(D$7&lt;Q81,1,0),0),0)</f>
        <v>0</v>
      </c>
      <c r="V82" s="37" t="s">
        <v>172</v>
      </c>
      <c r="X82" s="34">
        <f>L82+M82+N82+O82+P82+Q82+R82+S82+T82</f>
        <v>0</v>
      </c>
      <c r="Y82" s="34">
        <f>IF(K82=0,IF(AND(($D$13-4.699)*($D$13-5)&lt;0,$D$7&lt;46),1,0),0)</f>
        <v>0</v>
      </c>
      <c r="Z82" s="34">
        <f>IF(K82=0,IF(AND(($D$13-3.999)*($D$13-5)&lt;0,$D$7&gt;=79),1,0),0)</f>
        <v>0</v>
      </c>
    </row>
    <row r="83" spans="11:26" x14ac:dyDescent="0.2">
      <c r="K83" s="34">
        <v>21</v>
      </c>
      <c r="L83" s="34"/>
      <c r="M83" s="34">
        <v>5</v>
      </c>
      <c r="N83" s="34">
        <v>6</v>
      </c>
      <c r="O83" s="34"/>
      <c r="P83" s="34">
        <v>5</v>
      </c>
      <c r="Q83" s="34">
        <v>6</v>
      </c>
      <c r="R83" s="34"/>
      <c r="S83" s="34">
        <v>5</v>
      </c>
      <c r="T83" s="34">
        <v>5.7</v>
      </c>
      <c r="X83" s="34"/>
    </row>
    <row r="84" spans="11:26" x14ac:dyDescent="0.2">
      <c r="L84" s="34"/>
      <c r="M84" s="34">
        <v>66</v>
      </c>
      <c r="N84" s="34">
        <v>64</v>
      </c>
      <c r="O84" s="34"/>
      <c r="P84" s="34">
        <v>46</v>
      </c>
      <c r="Q84" s="34">
        <v>46</v>
      </c>
      <c r="R84" s="34"/>
      <c r="S84" s="34"/>
      <c r="T84" s="34"/>
    </row>
    <row r="85" spans="11:26" x14ac:dyDescent="0.2">
      <c r="K85" s="37">
        <f>ABS($D$22-K83)+$D$39</f>
        <v>6</v>
      </c>
      <c r="M85" s="37">
        <f>IF(K85=0,IF(AND(D$13&gt;=M83,D$13&lt;N83),IF(D$7&gt;=M84,1,0),0),0)</f>
        <v>0</v>
      </c>
      <c r="N85" s="37">
        <f>IF(K85=0,IF(D$13&gt;=N83,IF(D$7&gt;=N84,1,0),0),0)</f>
        <v>0</v>
      </c>
      <c r="P85" s="37">
        <f>IF(K85=0,IF(AND(D$13&gt;=P83,D$13&lt;Q83),IF(AND(D$7&gt;=P84,D$7&lt;M84),1,0),0),0)</f>
        <v>0</v>
      </c>
      <c r="Q85" s="37">
        <f>IF(K85=0,IF(D$13&gt;=Q83,IF(AND(D$7&gt;=Q84,D$7&lt;N84),1,0),0),0)</f>
        <v>0</v>
      </c>
      <c r="S85" s="37">
        <f>IF(K85=0,IF(AND(D$13&gt;=S83,D$13&lt;T83),IF(D$7&lt;P84,1,0),0),0)</f>
        <v>0</v>
      </c>
      <c r="T85" s="37">
        <f>IF(K85=0,IF(D$13&gt;=T83,IF(D$7&lt;Q84,1,0),0),0)</f>
        <v>0</v>
      </c>
      <c r="V85" s="37" t="s">
        <v>173</v>
      </c>
      <c r="X85" s="34">
        <f>L85+M85+N85+O85+P85+Q85+R85+S85+T85</f>
        <v>0</v>
      </c>
    </row>
    <row r="86" spans="11:26" x14ac:dyDescent="0.2">
      <c r="K86" s="34">
        <v>22</v>
      </c>
      <c r="L86" s="34"/>
      <c r="M86" s="34">
        <v>5</v>
      </c>
      <c r="N86" s="34">
        <v>6.2</v>
      </c>
      <c r="O86" s="34"/>
      <c r="P86" s="34">
        <v>5</v>
      </c>
      <c r="Q86" s="34">
        <v>6.2</v>
      </c>
      <c r="R86" s="34"/>
      <c r="S86" s="34">
        <v>5</v>
      </c>
      <c r="T86" s="34">
        <v>6</v>
      </c>
      <c r="X86" s="34"/>
    </row>
    <row r="87" spans="11:26" x14ac:dyDescent="0.2">
      <c r="L87" s="34"/>
      <c r="M87" s="34">
        <v>60</v>
      </c>
      <c r="N87" s="34">
        <v>57</v>
      </c>
      <c r="O87" s="34"/>
      <c r="P87" s="34">
        <v>38</v>
      </c>
      <c r="Q87" s="34">
        <v>38</v>
      </c>
      <c r="R87" s="34"/>
      <c r="S87" s="34"/>
      <c r="T87" s="34"/>
    </row>
    <row r="88" spans="11:26" x14ac:dyDescent="0.2">
      <c r="K88" s="37">
        <f>ABS($D$22-K86)+$D$39</f>
        <v>7</v>
      </c>
      <c r="M88" s="37">
        <f>IF(K88=0,IF(AND(D$13&gt;=M86,D$13&lt;N86),IF(D$7&gt;=M87,1,0),0),0)</f>
        <v>0</v>
      </c>
      <c r="N88" s="37">
        <f>IF(K88=0,IF(D$13&gt;=N86,IF(D$7&gt;=N87,1,0),0),0)</f>
        <v>0</v>
      </c>
      <c r="P88" s="37">
        <f>IF(K88=0,IF(AND(D$13&gt;=P86,D$13&lt;Q86),IF(AND(D$7&gt;=P87,D$7&lt;M87),1,0),0),0)</f>
        <v>0</v>
      </c>
      <c r="Q88" s="37">
        <f>IF(K88=0,IF(D$13&gt;=Q86,IF(AND(D$7&gt;=Q87,D$7&lt;N87),1,0),0),0)</f>
        <v>0</v>
      </c>
      <c r="S88" s="37">
        <f>IF(K88=0,IF(AND(D$13&gt;=S86,D$13&lt;T86),IF(D$7&lt;P87,1,0),0),0)</f>
        <v>0</v>
      </c>
      <c r="T88" s="37">
        <f>IF(K88=0,IF(D$13&gt;=T86,IF(D$7&lt;Q87,1,0),0),0)</f>
        <v>0</v>
      </c>
      <c r="V88" s="37" t="s">
        <v>173</v>
      </c>
      <c r="X88" s="34">
        <f>L88+M88+N88+O88+P88+Q88+R88+S88+T88</f>
        <v>0</v>
      </c>
    </row>
    <row r="89" spans="11:26" x14ac:dyDescent="0.2">
      <c r="K89" s="34">
        <v>23</v>
      </c>
      <c r="L89" s="34"/>
      <c r="M89" s="34">
        <v>5</v>
      </c>
      <c r="N89" s="34">
        <v>6.5</v>
      </c>
      <c r="O89" s="34">
        <v>4</v>
      </c>
      <c r="P89" s="34">
        <v>5.4</v>
      </c>
      <c r="Q89" s="34">
        <v>6.7</v>
      </c>
      <c r="R89" s="34"/>
      <c r="S89" s="34">
        <v>5</v>
      </c>
      <c r="T89" s="34"/>
      <c r="X89" s="34"/>
    </row>
    <row r="90" spans="11:26" x14ac:dyDescent="0.2">
      <c r="L90" s="34"/>
      <c r="M90" s="34">
        <v>57</v>
      </c>
      <c r="N90" s="34">
        <v>52</v>
      </c>
      <c r="O90" s="34">
        <v>34</v>
      </c>
      <c r="P90" s="34">
        <v>34</v>
      </c>
      <c r="Q90" s="34">
        <v>34</v>
      </c>
      <c r="R90" s="34"/>
      <c r="S90" s="34">
        <v>27</v>
      </c>
      <c r="T90" s="34"/>
    </row>
    <row r="91" spans="11:26" x14ac:dyDescent="0.2">
      <c r="K91" s="37">
        <f>ABS($D$22-K89)+$D$39</f>
        <v>8</v>
      </c>
      <c r="M91" s="37">
        <f>IF(K91=0,IF(AND(D$13&gt;=M89,D$13&lt;N89),IF(D$7&gt;=M90,1,0),0),0)</f>
        <v>0</v>
      </c>
      <c r="N91" s="37">
        <f>IF(K91=0,IF(D$13&gt;=N89,IF(D$7&gt;=N90,1,0),0),0)</f>
        <v>0</v>
      </c>
      <c r="O91" s="37">
        <f>IF(K91+Y91+Z91=0,IF(AND(D$13&gt;=O89,D$13&lt;P89),IF(AND(D$7&gt;=O90,D$7&lt;M90),1,0),0),0)</f>
        <v>0</v>
      </c>
      <c r="P91" s="37">
        <f>IF(K91=0,IF(AND(D$13&gt;=P89,D$13&lt;Q89),IF(AND(D$7&gt;=P90,D$7&lt;M90),1,0),0),0)</f>
        <v>0</v>
      </c>
      <c r="Q91" s="37">
        <f>IF(K91=0,IF(D$13&gt;=Q89,IF(AND(D$7&gt;=Q90,D$7&lt;N90),1,0),0),0)</f>
        <v>0</v>
      </c>
      <c r="S91" s="37">
        <f>IF(K91=0,IF(D$13&gt;=S89,IF(AND(D$7&lt;P90,D$7&gt;=S90),1,0),0),0)</f>
        <v>0</v>
      </c>
      <c r="V91" s="37" t="s">
        <v>174</v>
      </c>
      <c r="X91" s="34">
        <f>L91+M91+N91+O91+P91+Q91+R91+S91+T91</f>
        <v>0</v>
      </c>
      <c r="Y91" s="34">
        <f>IF(K91=0,IF(AND(($D$13-3.999)*($D$13-5)&lt;0,$D$7&lt;38),1,0),0)</f>
        <v>0</v>
      </c>
      <c r="Z91" s="34">
        <f>IF(K91=0,IF(AND(($D$13-3.999)*($D$13-5)&lt;0,$D$7&gt;=46),1,0),0)</f>
        <v>0</v>
      </c>
    </row>
    <row r="92" spans="11:26" x14ac:dyDescent="0.2">
      <c r="K92" s="34">
        <v>24</v>
      </c>
      <c r="L92" s="34"/>
      <c r="M92" s="34">
        <v>5</v>
      </c>
      <c r="N92" s="34">
        <v>6.5</v>
      </c>
      <c r="O92" s="34">
        <v>4</v>
      </c>
      <c r="P92" s="34">
        <v>5.2</v>
      </c>
      <c r="Q92" s="34">
        <v>6.7</v>
      </c>
      <c r="R92" s="34"/>
      <c r="S92" s="34"/>
      <c r="T92" s="34"/>
      <c r="X92" s="34"/>
      <c r="Y92" s="34"/>
      <c r="Z92" s="34"/>
    </row>
    <row r="93" spans="11:26" x14ac:dyDescent="0.2">
      <c r="L93" s="34"/>
      <c r="M93" s="34">
        <v>57</v>
      </c>
      <c r="N93" s="34">
        <v>52</v>
      </c>
      <c r="O93" s="34">
        <v>34</v>
      </c>
      <c r="P93" s="34">
        <v>34</v>
      </c>
      <c r="Q93" s="34">
        <v>34</v>
      </c>
      <c r="R93" s="34"/>
      <c r="S93" s="34"/>
      <c r="T93" s="34"/>
      <c r="Y93" s="34"/>
      <c r="Z93" s="34"/>
    </row>
    <row r="94" spans="11:26" x14ac:dyDescent="0.2">
      <c r="K94" s="37">
        <f>ABS($D$22-K92)+$D$39</f>
        <v>9</v>
      </c>
      <c r="M94" s="37">
        <f>IF(K94=0,IF(AND(D$13&gt;=M92,D$13&lt;N92),IF(D$7&gt;=M93,1,0),0),0)</f>
        <v>0</v>
      </c>
      <c r="N94" s="37">
        <f>IF(K94=0,IF(D$13&gt;=N92,IF(D$7&gt;=N93,1,0),0),0)</f>
        <v>0</v>
      </c>
      <c r="O94" s="37">
        <f>IF(K94+Y94+Z94=0,IF(AND(D$13&gt;=O92,D$13&lt;P92),IF(AND(D$7&gt;=O93,D$7&lt;M93),1,0),0),0)</f>
        <v>0</v>
      </c>
      <c r="P94" s="37">
        <f>IF(K94=0,IF(AND(D$13&gt;=P92,D$13&lt;Q92),IF(AND(D$7&gt;=P93,D$7&lt;M93),1,0),0),0)</f>
        <v>0</v>
      </c>
      <c r="Q94" s="37">
        <f>IF(K94=0,IF(D$13&gt;=Q92,IF(AND(D$7&gt;=Q93,D$7&lt;N93),1,0),0),0)</f>
        <v>0</v>
      </c>
      <c r="V94" s="37" t="s">
        <v>175</v>
      </c>
      <c r="X94" s="34">
        <f>L94+M94+N94+O94+P94+Q94+R94+S94+T94</f>
        <v>0</v>
      </c>
      <c r="Y94" s="34">
        <f>IF(K94=0,IF(AND(($D$13-3.999)*($D$13-5)&lt;0,$D$7&lt;38),1,0),0)</f>
        <v>0</v>
      </c>
      <c r="Z94" s="34">
        <f>IF(K94=0,IF(AND(($D$13-3.999)*($D$13-5)&lt;0,$D$7&gt;=46),1,0),0)</f>
        <v>0</v>
      </c>
    </row>
    <row r="95" spans="11:26" x14ac:dyDescent="0.2">
      <c r="K95" s="34">
        <v>25</v>
      </c>
      <c r="L95" s="34"/>
      <c r="M95" s="34">
        <v>5</v>
      </c>
      <c r="N95" s="34">
        <v>6.2</v>
      </c>
      <c r="O95" s="34">
        <v>4</v>
      </c>
      <c r="P95" s="34">
        <v>5</v>
      </c>
      <c r="Q95" s="34">
        <v>6.5</v>
      </c>
      <c r="R95" s="34"/>
      <c r="S95" s="34"/>
      <c r="T95" s="34"/>
      <c r="X95" s="34"/>
    </row>
    <row r="96" spans="11:26" x14ac:dyDescent="0.2">
      <c r="L96" s="34">
        <v>45.5</v>
      </c>
      <c r="M96" s="34">
        <v>54</v>
      </c>
      <c r="N96" s="34">
        <v>52</v>
      </c>
      <c r="O96" s="34">
        <v>38</v>
      </c>
      <c r="P96" s="34">
        <v>32</v>
      </c>
      <c r="Q96" s="34">
        <v>32</v>
      </c>
      <c r="R96" s="34"/>
      <c r="S96" s="34"/>
      <c r="T96" s="34"/>
    </row>
    <row r="97" spans="11:34" x14ac:dyDescent="0.2">
      <c r="K97" s="37">
        <f>ABS($D$22-K95)+$D$39</f>
        <v>10</v>
      </c>
      <c r="M97" s="37">
        <f>IF(K97=0,IF(AND(D$13&gt;=M95,D$13&lt;N95),IF(D$7&gt;=M96,1,0),0),0)</f>
        <v>0</v>
      </c>
      <c r="N97" s="37">
        <f>IF(K97=0,IF(D$13&gt;=N95,IF(D$7&gt;=N96,1,0),0),0)</f>
        <v>0</v>
      </c>
      <c r="O97" s="37">
        <f>IF(K97=0,IF(AND(D$13&gt;=O95,D$13&lt;P95),IF(AND(D$7&gt;=O96,D$7&lt;L96),1,0),0),0)</f>
        <v>0</v>
      </c>
      <c r="P97" s="37">
        <f>IF(K97+N97=0,IF(AND(D$13&gt;=P95,D$13&lt;Q95),IF(AND(D$7&gt;=P96,D$7&lt;M96),1,0),0),0)</f>
        <v>0</v>
      </c>
      <c r="Q97" s="37">
        <f>IF(K97=0,IF(D$13&gt;=Q95,IF(AND(D$7&gt;=Q96,D$7&lt;N96),1,0),0),0)</f>
        <v>0</v>
      </c>
      <c r="V97" s="37" t="s">
        <v>176</v>
      </c>
      <c r="X97" s="34">
        <f>L97+M97+N97+O97+P97+Q97+R97+S97+T97</f>
        <v>0</v>
      </c>
    </row>
    <row r="98" spans="11:34" x14ac:dyDescent="0.2">
      <c r="K98" s="34">
        <v>26</v>
      </c>
      <c r="L98" s="34"/>
      <c r="M98" s="34">
        <v>4.5</v>
      </c>
      <c r="N98" s="34">
        <v>5.5</v>
      </c>
      <c r="O98" s="34"/>
      <c r="P98" s="34">
        <v>4</v>
      </c>
      <c r="Q98" s="34">
        <v>5.5</v>
      </c>
      <c r="R98" s="34"/>
      <c r="S98" s="34">
        <v>4</v>
      </c>
      <c r="T98" s="34">
        <v>6</v>
      </c>
      <c r="X98" s="34"/>
    </row>
    <row r="99" spans="11:34" x14ac:dyDescent="0.2">
      <c r="L99" s="34"/>
      <c r="M99" s="34">
        <v>52</v>
      </c>
      <c r="N99" s="34">
        <v>52</v>
      </c>
      <c r="O99" s="34"/>
      <c r="P99" s="34">
        <v>30</v>
      </c>
      <c r="Q99" s="34">
        <v>30</v>
      </c>
      <c r="R99" s="34"/>
      <c r="S99" s="34"/>
      <c r="T99" s="34"/>
    </row>
    <row r="100" spans="11:34" x14ac:dyDescent="0.2">
      <c r="K100" s="37">
        <f>ABS($D$22-K98)+$D$39</f>
        <v>11</v>
      </c>
      <c r="M100" s="37">
        <f>IF(K100=0,IF(AND(D$13&gt;=M98,D$13&lt;N98),IF(D$7&gt;=M99,1,0),0),0)</f>
        <v>0</v>
      </c>
      <c r="N100" s="37">
        <f>IF(K100=0,IF(D$13&gt;=N98,IF(D$7&gt;=N99,1,0),0),0)</f>
        <v>0</v>
      </c>
      <c r="P100" s="37">
        <f>IF(K100=0,IF(AND(D$13&gt;=P98,D$13&lt;Q98),IF(AND(D$7&gt;=P99,D$7&lt;M99),1,0),0),0)</f>
        <v>0</v>
      </c>
      <c r="Q100" s="37">
        <f>IF(K100=0,IF(D$13&gt;=Q98,IF(AND(D$7&gt;=Q99,D$7&lt;N99),1,0),0),0)</f>
        <v>0</v>
      </c>
      <c r="S100" s="37">
        <f>IF(K100=0,IF(AND(D$13&gt;=S98,D$13&lt;T98),IF(D$7&lt;P99,1,0),0),0)</f>
        <v>0</v>
      </c>
      <c r="T100" s="37">
        <f>IF(K100=0,IF(D$13&gt;=T98,IF(D$7&lt;Q99,1,0),0),0)</f>
        <v>0</v>
      </c>
      <c r="V100" s="37" t="s">
        <v>177</v>
      </c>
      <c r="X100" s="34">
        <f>L100+M100+N100+O100+P100+Q100+R100+S100+T100</f>
        <v>0</v>
      </c>
    </row>
    <row r="101" spans="11:34" x14ac:dyDescent="0.2">
      <c r="K101" s="34">
        <v>27</v>
      </c>
      <c r="L101" s="34"/>
      <c r="M101" s="34">
        <v>4.5</v>
      </c>
      <c r="N101" s="34">
        <v>5.2</v>
      </c>
      <c r="O101" s="34"/>
      <c r="P101" s="34">
        <v>3</v>
      </c>
      <c r="Q101" s="34">
        <v>5.2</v>
      </c>
      <c r="R101" s="34"/>
      <c r="S101" s="34">
        <v>3.2</v>
      </c>
      <c r="T101" s="34">
        <v>5.8</v>
      </c>
      <c r="X101" s="34"/>
    </row>
    <row r="102" spans="11:34" x14ac:dyDescent="0.2">
      <c r="L102" s="34">
        <v>46</v>
      </c>
      <c r="M102" s="34">
        <v>52</v>
      </c>
      <c r="N102" s="34">
        <v>52</v>
      </c>
      <c r="O102" s="34">
        <v>30</v>
      </c>
      <c r="P102" s="34">
        <v>30</v>
      </c>
      <c r="Q102" s="34">
        <v>30</v>
      </c>
      <c r="R102" s="34"/>
      <c r="S102" s="34"/>
      <c r="T102" s="34"/>
    </row>
    <row r="103" spans="11:34" x14ac:dyDescent="0.2">
      <c r="K103" s="37">
        <f>ABS($D$22-K101)+$D$39</f>
        <v>12</v>
      </c>
      <c r="M103" s="37">
        <f>IF(K103=0,IF(AND(D$13&gt;=M101,D$13&lt;N101),IF(D$7&gt;=M102,1,0),0),0)</f>
        <v>0</v>
      </c>
      <c r="N103" s="37">
        <f>IF(K103=0,IF(D$13&gt;=N101,IF(D$7&gt;=N102,1,0),0),0)</f>
        <v>0</v>
      </c>
      <c r="O103" s="37">
        <f>IF(K103=0,IF(D$13&lt;P101,IF(AND(D$7&gt;=O102,D$7&lt;L102),1,0),0),0)</f>
        <v>0</v>
      </c>
      <c r="P103" s="37">
        <f>IF(K103+Y103=0,IF(AND(D$13&gt;=P101,D$13&lt;Q101),IF(AND(D$7&gt;=P102,D$7&lt;M102),1,0),0),0)</f>
        <v>0</v>
      </c>
      <c r="Q103" s="37">
        <f>IF(K103=0,IF(D$13&gt;=Q101,IF(AND(D$7&gt;=Q102,D$7&lt;N102),1,0),0),0)</f>
        <v>0</v>
      </c>
      <c r="R103" s="37">
        <f>IF(K103=0,IF(D$13&lt;S101,IF($D$7&lt;O102,1,0),0),0)</f>
        <v>0</v>
      </c>
      <c r="S103" s="37">
        <f>IF(K103=0,IF(AND(D$13&gt;=S101,D$13&lt;T101),IF(D$7&lt;P102,1,0),0),0)</f>
        <v>0</v>
      </c>
      <c r="T103" s="37">
        <f>IF(K103=0,IF(D$13&gt;=T101,IF(D$7&lt;Q102,1,0),0),0)</f>
        <v>0</v>
      </c>
      <c r="V103" s="37" t="s">
        <v>177</v>
      </c>
      <c r="X103" s="34">
        <f>L103+M103+N103+O103+P103+Q103+R103+S103+T103</f>
        <v>0</v>
      </c>
      <c r="Y103" s="34">
        <f>IF(K103=0,IF(AND(($D$13-2.999)*($D$13-4)&lt;0,$D$7&gt;=46),1,0),0)</f>
        <v>0</v>
      </c>
    </row>
    <row r="104" spans="11:34" x14ac:dyDescent="0.2">
      <c r="K104" s="34">
        <v>28</v>
      </c>
      <c r="L104" s="34"/>
      <c r="M104" s="34">
        <v>4</v>
      </c>
      <c r="N104" s="34">
        <v>4.5</v>
      </c>
      <c r="O104" s="34"/>
      <c r="P104" s="34">
        <v>3</v>
      </c>
      <c r="Q104" s="34">
        <v>5</v>
      </c>
      <c r="R104" s="34"/>
      <c r="S104" s="34">
        <v>3.2</v>
      </c>
      <c r="T104" s="34">
        <v>5.3</v>
      </c>
      <c r="X104" s="34"/>
    </row>
    <row r="105" spans="11:34" x14ac:dyDescent="0.2">
      <c r="L105" s="34">
        <v>46</v>
      </c>
      <c r="M105" s="34">
        <v>52</v>
      </c>
      <c r="N105" s="34">
        <v>52</v>
      </c>
      <c r="O105" s="34">
        <v>30</v>
      </c>
      <c r="P105" s="34">
        <v>30</v>
      </c>
      <c r="Q105" s="34">
        <v>30</v>
      </c>
      <c r="R105" s="34"/>
      <c r="S105" s="34"/>
      <c r="T105" s="34"/>
      <c r="X105" s="34"/>
    </row>
    <row r="106" spans="11:34" x14ac:dyDescent="0.2">
      <c r="K106" s="37">
        <f>ABS($D$22-K104)+$D$39</f>
        <v>13</v>
      </c>
      <c r="N106" s="37">
        <f>IF(K106=0,IF(D$13&gt;=N104,IF(D$7&gt;=N105,1,0),0),0)</f>
        <v>0</v>
      </c>
      <c r="O106" s="37">
        <f>IF(K106=0,IF(D$13&lt;P104,IF(AND(D$7&gt;=O105,D$7&lt;L105),1,0),0),0)</f>
        <v>0</v>
      </c>
      <c r="P106" s="37">
        <f>IF(K106+Y106=0,IF(AND(D$13&gt;=P104,D$13&lt;Q104),IF(AND(D$7&gt;=P105,D$7&lt;M105),1,0),0),0)</f>
        <v>0</v>
      </c>
      <c r="Q106" s="37">
        <f>IF(K106=0,IF(D$13&gt;=Q104,IF(AND(D$7&gt;=Q105,D$7&lt;N105),1,0),0),0)</f>
        <v>0</v>
      </c>
      <c r="R106" s="37">
        <f>IF(K106=0,IF(D$13&lt;S104,IF($D$7&lt;O105,1,0),0),0)</f>
        <v>0</v>
      </c>
      <c r="S106" s="37">
        <f>IF(K106=0,IF(AND(D$13&gt;=S104,D$13&lt;T104),IF(D$7&lt;P105,1,0),0),0)</f>
        <v>0</v>
      </c>
      <c r="T106" s="37">
        <f>IF(K106=0,IF(D$13&gt;=T104,IF(D$7&lt;Q105,1,0),0),0)</f>
        <v>0</v>
      </c>
      <c r="U106" s="34"/>
      <c r="V106" s="34" t="s">
        <v>178</v>
      </c>
      <c r="X106" s="34">
        <f>L106+M106+N106+O106+P106+Q106+R106+S106+T106</f>
        <v>0</v>
      </c>
      <c r="Y106" s="34">
        <f>IF(K106=0,IF(AND(($D$13-2.999)*($D$13-4)&lt;0,$D$7&gt;=46),1,0),0)</f>
        <v>0</v>
      </c>
    </row>
    <row r="107" spans="11:34" x14ac:dyDescent="0.2">
      <c r="L107" s="49"/>
      <c r="N107" s="49"/>
      <c r="P107" s="49"/>
      <c r="R107" s="49"/>
      <c r="T107" s="49"/>
      <c r="V107" s="49"/>
      <c r="X107" s="49"/>
      <c r="Z107" s="49"/>
      <c r="AB107" s="49"/>
    </row>
    <row r="108" spans="11:34" ht="15.75" x14ac:dyDescent="0.25">
      <c r="K108" s="27"/>
      <c r="R108" s="37" t="str">
        <f>AF112&amp;AF115&amp;AF118&amp;AF121&amp;AF124&amp;AF127&amp;AF130&amp;AF133&amp;AF136&amp;AF139&amp;AF142&amp;AF145&amp;AF148&amp;AF151&amp;AF154&amp;AF157&amp;AF160&amp;AF163&amp;AF166</f>
        <v/>
      </c>
      <c r="U108" s="37" t="str">
        <f>IF(L109=1,L13,IF(N109=1,M13,IF(P109=1,N13,IF(R109=1,O13,IF(T109=1,P13,IF(W109=1,Q13,IF(Y109=1,R13,IF(AA109=1,S13,IF(AC109=1,T13,"")))))))))</f>
        <v/>
      </c>
    </row>
    <row r="109" spans="11:34" x14ac:dyDescent="0.2">
      <c r="L109" s="37">
        <f>L112+L115+L118+L121+L124+L127+L130+L133+L136+L139+L142+L145+L148+L151+L154+L157+L160+L163+L166</f>
        <v>0</v>
      </c>
      <c r="N109" s="37">
        <f>N112+N115+N118+N121+N124+N127+N130+N133+N136+N139+N142+N145+N148+N151+N154+N157+N160+N163+N166</f>
        <v>0</v>
      </c>
      <c r="P109" s="37">
        <f>P112+P115+P118+P121+P124+P127+P130+P133+P136+P139+P142+P145+P148+P151+P154+P157+P160+P163+P166</f>
        <v>0</v>
      </c>
      <c r="R109" s="37">
        <f>R112+R115+R118+R121+R124+R127+R130+R133+R136+R139+R142+R145+R148+R151+R154+R157+R160+R163+R166+X121+X124</f>
        <v>0</v>
      </c>
      <c r="T109" s="37">
        <f>T112+T115+T118+T121+T124+T127+T130+T133+T136+T139+T142+T145+T148+T151+T154+T157+T160+T163+T166+Z121+Z124</f>
        <v>0</v>
      </c>
      <c r="W109" s="37">
        <f>V112+V115+V118+V121+V124+V127+V130+V133+V136+V139+V142+V145+V148+V151+V154+V157+V160+V163+V166+AB121+AB124</f>
        <v>0</v>
      </c>
      <c r="Y109" s="37">
        <f>X112+X115+X118+X127+X130+X133+X136+X139+X142+X145+X148+X151+X154+X157+X160+X163+X166</f>
        <v>0</v>
      </c>
      <c r="AA109" s="37">
        <f>Z112+Z115+Z118+Z127+Z130+Z133+Z136+Z139+Z142+Z145+Z148+Z151+Z154+Z157+Z160+Z163+Z166+AD121+AD124</f>
        <v>0</v>
      </c>
      <c r="AC109" s="37">
        <f>AB112+AB115+AB118+AB127+AB130+AB133+AB136+AB139+AB142+AB145+AB148+AB151+AB154+AB157+AB160+AB163+AB166</f>
        <v>0</v>
      </c>
      <c r="AH109" s="34">
        <f>AH112+AH115+AH118+AH121+AH124+AH127+AH130+AH133+AH136+AH139+AH142+AH145+AH148+AH151+AH154+AH157+AH160+AH163+AI121+AI124</f>
        <v>0</v>
      </c>
    </row>
    <row r="110" spans="11:34" x14ac:dyDescent="0.2">
      <c r="K110" s="34">
        <v>10</v>
      </c>
      <c r="L110" s="34"/>
      <c r="M110" s="34">
        <v>1.5</v>
      </c>
      <c r="N110" s="34">
        <v>1.5</v>
      </c>
      <c r="O110" s="34">
        <v>2.8</v>
      </c>
      <c r="P110" s="34">
        <v>2.8</v>
      </c>
      <c r="Q110" s="34">
        <v>4</v>
      </c>
      <c r="R110" s="34">
        <v>0.3</v>
      </c>
      <c r="S110" s="34">
        <v>1.2</v>
      </c>
      <c r="T110" s="34">
        <v>1.2</v>
      </c>
      <c r="U110" s="34">
        <v>2.8</v>
      </c>
      <c r="V110" s="34">
        <v>2.8</v>
      </c>
      <c r="W110" s="34">
        <v>4</v>
      </c>
      <c r="Z110" s="34">
        <v>0.3</v>
      </c>
      <c r="AA110" s="34">
        <v>3.4</v>
      </c>
      <c r="AD110" s="34"/>
      <c r="AE110" s="34"/>
      <c r="AF110" s="37" t="s">
        <v>26</v>
      </c>
      <c r="AG110" s="34"/>
      <c r="AH110" s="34"/>
    </row>
    <row r="111" spans="11:34" x14ac:dyDescent="0.2">
      <c r="L111" s="34">
        <v>89.5</v>
      </c>
      <c r="M111" s="34"/>
      <c r="N111" s="34">
        <v>89.5</v>
      </c>
      <c r="O111" s="34">
        <v>94</v>
      </c>
      <c r="P111" s="34">
        <v>89.5</v>
      </c>
      <c r="Q111" s="34">
        <v>94</v>
      </c>
      <c r="R111" s="34">
        <v>82</v>
      </c>
      <c r="S111" s="34">
        <v>89.5</v>
      </c>
      <c r="T111" s="34">
        <v>82</v>
      </c>
      <c r="U111" s="34">
        <v>89.5</v>
      </c>
      <c r="V111" s="34">
        <v>79</v>
      </c>
      <c r="W111" s="34">
        <v>89.5</v>
      </c>
      <c r="X111" s="34"/>
      <c r="Y111" s="34"/>
      <c r="Z111" s="34">
        <v>79</v>
      </c>
      <c r="AA111" s="34">
        <v>82</v>
      </c>
      <c r="AB111" s="34"/>
      <c r="AC111" s="34"/>
      <c r="AD111" s="34"/>
      <c r="AE111" s="34"/>
      <c r="AG111" s="34"/>
      <c r="AH111" s="34"/>
    </row>
    <row r="112" spans="11:34" x14ac:dyDescent="0.2">
      <c r="K112" s="37">
        <f>ABS($D$22-K110)+$D$39+$D$40</f>
        <v>7</v>
      </c>
      <c r="L112" s="56">
        <f>IF(K112=0,IF(AND($D$13&lt;$M110,$D$7&gt;=$L111),1,0),0)</f>
        <v>0</v>
      </c>
      <c r="M112" s="45" t="s">
        <v>13</v>
      </c>
      <c r="N112" s="56">
        <f>IF($K112=0,IF(AND($D$13&gt;=N110,$D$13&lt;O110),IF(AND($D$7&gt;=N111,$D$7&lt;O111),1,0),0),0)</f>
        <v>0</v>
      </c>
      <c r="O112" s="45" t="s">
        <v>12</v>
      </c>
      <c r="P112" s="56">
        <f>IF($K112=0,IF(AND($D$13&gt;=P110,$D$13&lt;Q110),IF(AND($D$7&gt;=P111,$D$7&lt;Q111),1,0),0),0)</f>
        <v>0</v>
      </c>
      <c r="Q112" s="45" t="s">
        <v>11</v>
      </c>
      <c r="R112" s="56">
        <f>IF($K112=0,IF(AND($D$13&gt;=R110,$D$13&lt;S110),IF(AND($D$7&gt;=R111,$D$7&lt;S111),1,0),0),0)</f>
        <v>0</v>
      </c>
      <c r="S112" s="45" t="s">
        <v>10</v>
      </c>
      <c r="T112" s="56">
        <f>IF($K112=0,IF(AND($D$13&gt;=T110,$D$13&lt;U110),IF(AND($D$7&gt;=T111,$D$7&lt;U111),1,0),0),0)</f>
        <v>0</v>
      </c>
      <c r="U112" s="45" t="s">
        <v>9</v>
      </c>
      <c r="V112" s="56">
        <f>IF($K112+Z112=0,IF(AND($D$13&gt;=V110,$D$13&lt;W110),IF(AND($D$7&gt;=V111,$D$7&lt;W111),1,0),0),0)</f>
        <v>0</v>
      </c>
      <c r="W112" s="45" t="s">
        <v>8</v>
      </c>
      <c r="X112" s="56"/>
      <c r="Y112" s="56"/>
      <c r="Z112" s="56">
        <f>IF($K112=0,IF(AND($D$13&gt;=Z110,$D$13&lt;AA110),IF(AND($D$7&gt;=Z111,$D$7&lt;AA111),1,0),0),0)</f>
        <v>0</v>
      </c>
      <c r="AA112" s="45" t="s">
        <v>6</v>
      </c>
      <c r="AF112" s="37" t="str">
        <f>IF($D$39=1,"",IF(AH112=0,"",AF110))</f>
        <v/>
      </c>
      <c r="AH112" s="34">
        <f>L112+N112+P112+R112+T112+V112+X112+Z112+AB112</f>
        <v>0</v>
      </c>
    </row>
    <row r="113" spans="11:35" x14ac:dyDescent="0.2">
      <c r="K113" s="34">
        <v>11</v>
      </c>
      <c r="L113" s="34"/>
      <c r="M113" s="34">
        <v>1.5</v>
      </c>
      <c r="N113" s="34">
        <v>1.5</v>
      </c>
      <c r="O113" s="34">
        <v>2.8</v>
      </c>
      <c r="P113" s="34">
        <v>2.8</v>
      </c>
      <c r="Q113" s="34">
        <v>4</v>
      </c>
      <c r="R113" s="34">
        <v>0.3</v>
      </c>
      <c r="S113" s="34">
        <v>1.2</v>
      </c>
      <c r="T113" s="34">
        <v>1.2</v>
      </c>
      <c r="U113" s="34">
        <v>2.8</v>
      </c>
      <c r="V113" s="34">
        <v>2.8</v>
      </c>
      <c r="W113" s="34">
        <v>4</v>
      </c>
      <c r="Z113" s="34">
        <v>0.3</v>
      </c>
      <c r="AA113" s="34">
        <v>3.4</v>
      </c>
      <c r="AD113" s="34"/>
      <c r="AE113" s="34"/>
      <c r="AF113" s="37" t="s">
        <v>26</v>
      </c>
      <c r="AG113" s="34"/>
      <c r="AH113" s="34"/>
    </row>
    <row r="114" spans="11:35" x14ac:dyDescent="0.2">
      <c r="L114" s="34">
        <v>89.5</v>
      </c>
      <c r="M114" s="34"/>
      <c r="N114" s="34">
        <v>89.5</v>
      </c>
      <c r="O114" s="34">
        <v>94</v>
      </c>
      <c r="P114" s="34">
        <v>89.5</v>
      </c>
      <c r="Q114" s="34">
        <v>94</v>
      </c>
      <c r="R114" s="34">
        <v>82</v>
      </c>
      <c r="S114" s="34">
        <v>89.5</v>
      </c>
      <c r="T114" s="34">
        <v>82</v>
      </c>
      <c r="U114" s="34">
        <v>89.5</v>
      </c>
      <c r="V114" s="34">
        <v>79</v>
      </c>
      <c r="W114" s="34">
        <v>89.5</v>
      </c>
      <c r="X114" s="34"/>
      <c r="Y114" s="34"/>
      <c r="Z114" s="34">
        <v>79</v>
      </c>
      <c r="AA114" s="34">
        <v>82</v>
      </c>
      <c r="AB114" s="34"/>
      <c r="AC114" s="34"/>
      <c r="AD114" s="34"/>
      <c r="AE114" s="34"/>
      <c r="AG114" s="34"/>
      <c r="AH114" s="34"/>
    </row>
    <row r="115" spans="11:35" x14ac:dyDescent="0.2">
      <c r="K115" s="37">
        <f>ABS($D$22-K113)+$D$39+$D$40</f>
        <v>6</v>
      </c>
      <c r="L115" s="56">
        <f>IF(K115=0,IF(AND($D$13&lt;$M113,$D$7&gt;=$L114),1,0),0)</f>
        <v>0</v>
      </c>
      <c r="M115" s="56"/>
      <c r="N115" s="56">
        <f>IF($K115=0,IF(AND($D$13&gt;=N113,$D$13&lt;O113),IF(AND($D$7&gt;=N114,$D$7&lt;O114),1,0),0),0)</f>
        <v>0</v>
      </c>
      <c r="O115" s="56"/>
      <c r="P115" s="56">
        <f>IF($K115=0,IF(AND($D$13&gt;=P113,$D$13&lt;Q113),IF(AND($D$7&gt;=P114,$D$7&lt;Q114),1,0),0),0)</f>
        <v>0</v>
      </c>
      <c r="Q115" s="56"/>
      <c r="R115" s="56">
        <f>IF($K115=0,IF(AND($D$13&gt;=R113,$D$13&lt;S113),IF(AND($D$7&gt;=R114,$D$7&lt;S114),1,0),0),0)</f>
        <v>0</v>
      </c>
      <c r="S115" s="56"/>
      <c r="T115" s="56">
        <f>IF($K115=0,IF(AND($D$13&gt;=T113,$D$13&lt;U113),IF(AND($D$7&gt;=T114,$D$7&lt;U114),1,0),0),0)</f>
        <v>0</v>
      </c>
      <c r="U115" s="56"/>
      <c r="V115" s="56">
        <f>IF($K115+Z115=0,IF(AND($D$13&gt;=V113,$D$13&lt;W113),IF(AND($D$7&gt;=V114,$D$7&lt;W114),1,0),0),0)</f>
        <v>0</v>
      </c>
      <c r="W115" s="56"/>
      <c r="X115" s="56"/>
      <c r="Y115" s="56"/>
      <c r="Z115" s="56">
        <f>IF($K115=0,IF(AND($D$13&gt;=Z113,$D$13&lt;AA113),IF(AND($D$7&gt;=Z114,$D$7&lt;AA114),1,0),0),0)</f>
        <v>0</v>
      </c>
      <c r="AF115" s="37" t="str">
        <f>IF($D$39=1,"",IF(AH115=0,"",AF113))</f>
        <v/>
      </c>
      <c r="AH115" s="34">
        <f>L115+N115+P115+R115+T115+V115+X115+Z115+AB115</f>
        <v>0</v>
      </c>
    </row>
    <row r="116" spans="11:35" x14ac:dyDescent="0.2">
      <c r="K116" s="34">
        <v>12</v>
      </c>
      <c r="L116" s="34"/>
      <c r="M116" s="34">
        <v>1.5</v>
      </c>
      <c r="N116" s="34">
        <v>1.5</v>
      </c>
      <c r="O116" s="34">
        <v>2.8</v>
      </c>
      <c r="P116" s="34">
        <v>2.8</v>
      </c>
      <c r="Q116" s="34">
        <v>4</v>
      </c>
      <c r="R116" s="34">
        <v>0.3</v>
      </c>
      <c r="S116" s="34">
        <v>1.2</v>
      </c>
      <c r="T116" s="34">
        <v>1.2</v>
      </c>
      <c r="U116" s="34">
        <v>2.8</v>
      </c>
      <c r="V116" s="34">
        <v>2.8</v>
      </c>
      <c r="W116" s="34">
        <v>4</v>
      </c>
      <c r="Z116" s="34">
        <v>0.3</v>
      </c>
      <c r="AA116" s="34">
        <v>3.4</v>
      </c>
      <c r="AD116" s="34"/>
      <c r="AE116" s="34"/>
      <c r="AF116" s="37" t="s">
        <v>27</v>
      </c>
      <c r="AG116" s="34"/>
      <c r="AH116" s="34"/>
    </row>
    <row r="117" spans="11:35" x14ac:dyDescent="0.2">
      <c r="L117" s="34">
        <v>89.5</v>
      </c>
      <c r="M117" s="34"/>
      <c r="N117" s="34">
        <v>89.5</v>
      </c>
      <c r="O117" s="34">
        <v>94</v>
      </c>
      <c r="P117" s="34">
        <v>89.5</v>
      </c>
      <c r="Q117" s="34">
        <v>94</v>
      </c>
      <c r="R117" s="34">
        <v>82</v>
      </c>
      <c r="S117" s="34">
        <v>89.5</v>
      </c>
      <c r="T117" s="34">
        <v>82</v>
      </c>
      <c r="U117" s="34">
        <v>89.5</v>
      </c>
      <c r="V117" s="34">
        <v>79</v>
      </c>
      <c r="W117" s="34">
        <v>89.5</v>
      </c>
      <c r="X117" s="34"/>
      <c r="Y117" s="34"/>
      <c r="Z117" s="34">
        <v>79</v>
      </c>
      <c r="AA117" s="34">
        <v>82</v>
      </c>
      <c r="AB117" s="34"/>
      <c r="AC117" s="34"/>
      <c r="AD117" s="34"/>
      <c r="AE117" s="34"/>
      <c r="AG117" s="34"/>
      <c r="AH117" s="34"/>
    </row>
    <row r="118" spans="11:35" x14ac:dyDescent="0.2">
      <c r="K118" s="37">
        <f>ABS($D$22-K116)+$D$39+$D$40</f>
        <v>5</v>
      </c>
      <c r="L118" s="56">
        <f>IF(K118=0,IF(AND($D$13&lt;$M116,$D$7&gt;=$L117),1,0),0)</f>
        <v>0</v>
      </c>
      <c r="M118" s="56"/>
      <c r="N118" s="56">
        <f>IF($K118=0,IF(AND($D$13&gt;=N116,$D$13&lt;O116),IF(AND($D$7&gt;=N117,$D$7&lt;O117),1,0),0),0)</f>
        <v>0</v>
      </c>
      <c r="O118" s="56"/>
      <c r="P118" s="56">
        <f>IF($K118=0,IF(AND($D$13&gt;=P116,$D$13&lt;Q116),IF(AND($D$7&gt;=P117,$D$7&lt;Q117),1,0),0),0)</f>
        <v>0</v>
      </c>
      <c r="Q118" s="56"/>
      <c r="R118" s="56">
        <f>IF($K118=0,IF(AND($D$13&gt;=R116,$D$13&lt;S116),IF(AND($D$7&gt;=R117,$D$7&lt;S117),1,0),0),0)</f>
        <v>0</v>
      </c>
      <c r="S118" s="56"/>
      <c r="T118" s="56">
        <f>IF($K118=0,IF(AND($D$13&gt;=T116,$D$13&lt;U116),IF(AND($D$7&gt;=T117,$D$7&lt;U117),1,0),0),0)</f>
        <v>0</v>
      </c>
      <c r="U118" s="56"/>
      <c r="V118" s="56">
        <f>IF($K118+Z118=0,IF(AND($D$13&gt;=V116,$D$13&lt;W116),IF(AND($D$7&gt;=V117,$D$7&lt;W117),1,0),0),0)</f>
        <v>0</v>
      </c>
      <c r="W118" s="56"/>
      <c r="X118" s="56"/>
      <c r="Y118" s="56"/>
      <c r="Z118" s="56">
        <f>IF($K118=0,IF(AND($D$13&gt;=Z116,$D$13&lt;AA116),IF(AND($D$7&gt;=Z117,$D$7&lt;AA117),1,0),0),0)</f>
        <v>0</v>
      </c>
      <c r="AF118" s="37" t="str">
        <f>IF($D$39=1,"",IF(AH118=0,"",AF116))</f>
        <v/>
      </c>
      <c r="AH118" s="34">
        <f>L118+N118+P118+R118+T118+V118+X118+Z118+AB118</f>
        <v>0</v>
      </c>
    </row>
    <row r="119" spans="11:35" x14ac:dyDescent="0.2">
      <c r="K119" s="34">
        <v>13</v>
      </c>
      <c r="L119" s="34"/>
      <c r="M119" s="34">
        <v>1.5</v>
      </c>
      <c r="N119" s="34">
        <v>1.5</v>
      </c>
      <c r="O119" s="34">
        <v>2.8</v>
      </c>
      <c r="P119" s="34">
        <v>2.8</v>
      </c>
      <c r="Q119" s="34">
        <v>4</v>
      </c>
      <c r="R119" s="34">
        <v>0.3</v>
      </c>
      <c r="S119" s="34">
        <v>1.2</v>
      </c>
      <c r="T119" s="34">
        <v>1.2</v>
      </c>
      <c r="U119" s="34">
        <v>2.8</v>
      </c>
      <c r="V119" s="34">
        <v>2.8</v>
      </c>
      <c r="W119" s="34">
        <v>4</v>
      </c>
      <c r="X119" s="34">
        <v>0.3</v>
      </c>
      <c r="Y119" s="34">
        <v>1.2</v>
      </c>
      <c r="Z119" s="34">
        <v>1.2</v>
      </c>
      <c r="AA119" s="34">
        <v>2.8</v>
      </c>
      <c r="AB119" s="34">
        <v>2.8</v>
      </c>
      <c r="AC119" s="34">
        <v>4</v>
      </c>
      <c r="AD119" s="34">
        <v>0.3</v>
      </c>
      <c r="AE119" s="34">
        <v>3.4</v>
      </c>
      <c r="AF119" s="37" t="s">
        <v>140</v>
      </c>
      <c r="AG119" s="34"/>
      <c r="AH119" s="34"/>
    </row>
    <row r="120" spans="11:35" x14ac:dyDescent="0.2">
      <c r="L120" s="34">
        <v>89.5</v>
      </c>
      <c r="M120" s="34"/>
      <c r="N120" s="34">
        <v>89.5</v>
      </c>
      <c r="O120" s="34">
        <v>94</v>
      </c>
      <c r="P120" s="34">
        <v>89.5</v>
      </c>
      <c r="Q120" s="34">
        <v>94</v>
      </c>
      <c r="R120" s="34">
        <v>87</v>
      </c>
      <c r="S120" s="34">
        <v>89.5</v>
      </c>
      <c r="T120" s="34">
        <v>87</v>
      </c>
      <c r="U120" s="34">
        <v>89.5</v>
      </c>
      <c r="V120" s="34">
        <v>87</v>
      </c>
      <c r="W120" s="34">
        <v>89.5</v>
      </c>
      <c r="X120" s="34">
        <v>82</v>
      </c>
      <c r="Y120" s="34">
        <v>87</v>
      </c>
      <c r="Z120" s="34">
        <v>82</v>
      </c>
      <c r="AA120" s="34">
        <v>87</v>
      </c>
      <c r="AB120" s="34">
        <v>79</v>
      </c>
      <c r="AC120" s="34">
        <v>87</v>
      </c>
      <c r="AD120" s="57">
        <v>79</v>
      </c>
      <c r="AE120" s="34">
        <v>82</v>
      </c>
      <c r="AF120" s="37" t="s">
        <v>141</v>
      </c>
      <c r="AG120" s="34"/>
      <c r="AH120" s="34"/>
    </row>
    <row r="121" spans="11:35" x14ac:dyDescent="0.2">
      <c r="K121" s="37">
        <f>ABS($D$22-K119)+$D$39+$D$40</f>
        <v>4</v>
      </c>
      <c r="L121" s="56">
        <f>IF(K121=0,IF(AND($D$13&lt;$M119,$D$7&gt;=$L120),1,0),0)</f>
        <v>0</v>
      </c>
      <c r="M121" s="45" t="s">
        <v>13</v>
      </c>
      <c r="N121" s="56">
        <f>IF($K121=0,IF(AND($D$13&gt;=N119,$D$13&lt;O119),IF(AND($D$7&gt;=N120,$D$7&lt;O120),1,0),0),0)</f>
        <v>0</v>
      </c>
      <c r="O121" s="45" t="s">
        <v>12</v>
      </c>
      <c r="P121" s="56">
        <f>IF($K121=0,IF(AND($D$13&gt;=P119,$D$13&lt;Q119),IF(AND($D$7&gt;=P120,$D$7&lt;Q120),1,0),0),0)</f>
        <v>0</v>
      </c>
      <c r="Q121" s="45" t="s">
        <v>11</v>
      </c>
      <c r="R121" s="56">
        <f>IF($K121=0,IF(AND($D$13&gt;=R119,$D$13&lt;S119),IF(AND($D$7&gt;=R120,$D$7&lt;S120),1,0),0),0)</f>
        <v>0</v>
      </c>
      <c r="S121" s="45" t="s">
        <v>10</v>
      </c>
      <c r="T121" s="56">
        <f>IF($K121=0,IF(AND($D$13&gt;=T119,$D$13&lt;U119),IF(AND($D$7&gt;=T120,$D$7&lt;U120),1,0),0),0)</f>
        <v>0</v>
      </c>
      <c r="U121" s="45" t="s">
        <v>9</v>
      </c>
      <c r="V121" s="56">
        <f>IF($K121+X121=0,IF(AND($D$13&gt;=V119,$D$13&lt;W119),IF(AND($D$7&gt;=V120,$D$7&lt;W120),1,0),0),0)</f>
        <v>0</v>
      </c>
      <c r="W121" s="45" t="s">
        <v>8</v>
      </c>
      <c r="X121" s="37">
        <f>IF($K121=0,IF(AND(D$13&gt;=X119,D$13&lt;Y119),IF(AND(D$7&gt;=X120,D$7&lt;Y120),1,0),0),0)</f>
        <v>0</v>
      </c>
      <c r="Y121" s="37" t="s">
        <v>10</v>
      </c>
      <c r="Z121" s="37">
        <f>IF($K121=0,IF(AND(D$13&gt;=Z119,D$13&lt;AA119),IF(AND(D$7&gt;=Z120,D$7&lt;AA120),1,0),0),0)</f>
        <v>0</v>
      </c>
      <c r="AA121" s="37" t="s">
        <v>9</v>
      </c>
      <c r="AB121" s="37">
        <f>IF($K121+AD121=0,IF(AND($D$13&gt;=AB119,$D$13&lt;AC119),IF(AND((D$7&gt;=AB120,D$7&lt;AC120)),1,0),0),0)</f>
        <v>0</v>
      </c>
      <c r="AC121" s="37" t="s">
        <v>8</v>
      </c>
      <c r="AD121" s="37">
        <f>IF($K121=0,IF(AND(D$13&gt;=AD119,D$13&lt;AE119),IF(AND(D$7&gt;=AD120,D$7&lt;AE120),1,0),0),0)</f>
        <v>0</v>
      </c>
      <c r="AE121" s="37" t="s">
        <v>6</v>
      </c>
      <c r="AF121" s="37" t="str">
        <f>IF($D$39=1,"",IF(AH121=1,AF119,IF(AI121=1,AF120,"")))</f>
        <v/>
      </c>
      <c r="AH121" s="34">
        <f>L121+N121+P121+R121+T121+V121</f>
        <v>0</v>
      </c>
      <c r="AI121" s="37">
        <f>X121+Z121+AB121+AD121</f>
        <v>0</v>
      </c>
    </row>
    <row r="122" spans="11:35" x14ac:dyDescent="0.2">
      <c r="K122" s="34">
        <v>14</v>
      </c>
      <c r="L122" s="34"/>
      <c r="M122" s="34">
        <v>1.5</v>
      </c>
      <c r="N122" s="34">
        <v>1.5</v>
      </c>
      <c r="O122" s="34">
        <v>2.8</v>
      </c>
      <c r="P122" s="34">
        <v>2.8</v>
      </c>
      <c r="Q122" s="34">
        <v>4</v>
      </c>
      <c r="R122" s="34">
        <v>0.3</v>
      </c>
      <c r="S122" s="34">
        <v>1.2</v>
      </c>
      <c r="T122" s="34">
        <v>1.2</v>
      </c>
      <c r="U122" s="34">
        <v>2.8</v>
      </c>
      <c r="V122" s="34">
        <v>2.8</v>
      </c>
      <c r="W122" s="34">
        <v>4</v>
      </c>
      <c r="X122" s="34">
        <v>0.3</v>
      </c>
      <c r="Y122" s="34">
        <v>1.2</v>
      </c>
      <c r="Z122" s="34">
        <v>1.2</v>
      </c>
      <c r="AA122" s="34">
        <v>2.8</v>
      </c>
      <c r="AB122" s="34">
        <v>2.8</v>
      </c>
      <c r="AC122" s="34">
        <v>4</v>
      </c>
      <c r="AD122" s="34">
        <v>0.3</v>
      </c>
      <c r="AE122" s="34">
        <v>3.4</v>
      </c>
      <c r="AF122" s="37" t="s">
        <v>140</v>
      </c>
      <c r="AG122" s="34"/>
      <c r="AH122" s="34"/>
    </row>
    <row r="123" spans="11:35" x14ac:dyDescent="0.2">
      <c r="L123" s="34">
        <v>89.5</v>
      </c>
      <c r="M123" s="34"/>
      <c r="N123" s="34">
        <v>89.5</v>
      </c>
      <c r="O123" s="34">
        <v>94</v>
      </c>
      <c r="P123" s="34">
        <v>89.5</v>
      </c>
      <c r="Q123" s="34">
        <v>94</v>
      </c>
      <c r="R123" s="34">
        <v>87</v>
      </c>
      <c r="S123" s="34">
        <v>89.5</v>
      </c>
      <c r="T123" s="34">
        <v>87</v>
      </c>
      <c r="U123" s="34">
        <v>89.5</v>
      </c>
      <c r="V123" s="34">
        <v>87</v>
      </c>
      <c r="W123" s="34">
        <v>89.5</v>
      </c>
      <c r="X123" s="34">
        <v>82</v>
      </c>
      <c r="Y123" s="34">
        <v>87</v>
      </c>
      <c r="Z123" s="34">
        <v>82</v>
      </c>
      <c r="AA123" s="34">
        <v>87</v>
      </c>
      <c r="AB123" s="34">
        <v>79</v>
      </c>
      <c r="AC123" s="34">
        <v>87</v>
      </c>
      <c r="AD123" s="34">
        <v>78.998999999999995</v>
      </c>
      <c r="AE123" s="34">
        <v>82</v>
      </c>
      <c r="AF123" s="37" t="s">
        <v>141</v>
      </c>
      <c r="AG123" s="34"/>
      <c r="AH123" s="34"/>
    </row>
    <row r="124" spans="11:35" x14ac:dyDescent="0.2">
      <c r="K124" s="37">
        <f>ABS($D$22-K122)+$D$39+$D$40</f>
        <v>3</v>
      </c>
      <c r="L124" s="56">
        <f>IF(K124=0,IF(AND($D$13&lt;$M122,$D$7&gt;=$L123),1,0),0)</f>
        <v>0</v>
      </c>
      <c r="M124" s="56"/>
      <c r="N124" s="56">
        <f>IF($K124=0,IF(AND($D$13&gt;=N122,$D$13&lt;O122),IF(AND($D$7&gt;=N123,$D$7&lt;O123),1,0),0),0)</f>
        <v>0</v>
      </c>
      <c r="O124" s="56"/>
      <c r="P124" s="56">
        <f>IF($K124=0,IF(AND($D$13&gt;=P122,$D$13&lt;Q122),IF(AND($D$7&gt;=P123,$D$7&lt;Q123),1,0),0),0)</f>
        <v>0</v>
      </c>
      <c r="Q124" s="56"/>
      <c r="R124" s="56">
        <f>IF($K124=0,IF(AND($D$13&gt;=R122,$D$13&lt;S122),IF(AND($D$7&gt;=R123,$D$7&lt;S123),1,0),0),0)</f>
        <v>0</v>
      </c>
      <c r="S124" s="56"/>
      <c r="T124" s="56">
        <f>IF($K124=0,IF(AND($D$13&gt;=T122,$D$13&lt;U122),IF(AND($D$7&gt;=T123,$D$7&lt;U123),1,0),0),0)</f>
        <v>0</v>
      </c>
      <c r="U124" s="56"/>
      <c r="V124" s="56">
        <f>IF($K124+X124=0,IF(AND($D$13&gt;=V122,$D$13&lt;W122),IF(AND($D$7&gt;=V123,$D$7&lt;W123),1,0),0),0)</f>
        <v>0</v>
      </c>
      <c r="X124" s="37">
        <f>IF($K124=0,IF(AND(D$13&gt;=X122,D$13&lt;Y122),IF(AND(D$7&gt;=X123,D$7&lt;Y123),1,0),0),0)</f>
        <v>0</v>
      </c>
      <c r="Z124" s="37">
        <f>IF($K124=0,IF(AND(D$13&gt;=Z122,D$13&lt;AA122),IF(AND(D$7&gt;=Z123,D$7&lt;AA123),1,0),0),0)</f>
        <v>0</v>
      </c>
      <c r="AB124" s="37">
        <f>IF($K124+AD124=0,IF(AND($D$13&gt;=AB122,$D$13&lt;AC122),IF(AND((D$7&gt;=AB123,D$7&lt;AC123)),1,0),0),0)</f>
        <v>0</v>
      </c>
      <c r="AD124" s="37">
        <f>IF($K124=0,IF(AND(D$13&gt;=AD122,D$13&lt;AE122),IF(AND(D$7&gt;=AD123,D$7&lt;AE123),1,0),0),0)</f>
        <v>0</v>
      </c>
      <c r="AF124" s="37" t="str">
        <f>IF($D$39=1,"",IF(AH124=1,AF122,IF(AI124=1,AF123,"")))</f>
        <v/>
      </c>
      <c r="AH124" s="34">
        <f>L124+N124+P124+R124+T124+V124</f>
        <v>0</v>
      </c>
      <c r="AI124" s="37">
        <f>X124+Z124+AB124+AD124</f>
        <v>0</v>
      </c>
    </row>
    <row r="125" spans="11:35" x14ac:dyDescent="0.2">
      <c r="K125" s="34">
        <v>15</v>
      </c>
      <c r="L125" s="34"/>
      <c r="M125" s="34">
        <v>1.5</v>
      </c>
      <c r="N125" s="34">
        <v>1.5</v>
      </c>
      <c r="O125" s="34">
        <v>2.8</v>
      </c>
      <c r="P125" s="34">
        <v>2.8</v>
      </c>
      <c r="Q125" s="34">
        <v>4</v>
      </c>
      <c r="R125" s="34">
        <v>0.3</v>
      </c>
      <c r="S125" s="34">
        <v>1.2</v>
      </c>
      <c r="T125" s="34">
        <v>1.2</v>
      </c>
      <c r="U125" s="34">
        <v>2.8</v>
      </c>
      <c r="V125" s="34">
        <v>2.8</v>
      </c>
      <c r="W125" s="34">
        <v>4</v>
      </c>
      <c r="Z125" s="34">
        <v>0.3</v>
      </c>
      <c r="AA125" s="34">
        <v>3.4</v>
      </c>
      <c r="AD125" s="34"/>
      <c r="AE125" s="34"/>
      <c r="AF125" s="37" t="s">
        <v>142</v>
      </c>
      <c r="AG125" s="34"/>
      <c r="AH125" s="34"/>
    </row>
    <row r="126" spans="11:35" x14ac:dyDescent="0.2">
      <c r="L126" s="34">
        <v>89.5</v>
      </c>
      <c r="M126" s="34"/>
      <c r="N126" s="34">
        <v>89.5</v>
      </c>
      <c r="O126" s="34">
        <v>94</v>
      </c>
      <c r="P126" s="34">
        <v>89.5</v>
      </c>
      <c r="Q126" s="34">
        <v>94</v>
      </c>
      <c r="R126" s="34">
        <v>82</v>
      </c>
      <c r="S126" s="34">
        <v>89.5</v>
      </c>
      <c r="T126" s="34">
        <v>82</v>
      </c>
      <c r="U126" s="34">
        <v>89.5</v>
      </c>
      <c r="V126" s="34">
        <v>79</v>
      </c>
      <c r="W126" s="34">
        <v>89.5</v>
      </c>
      <c r="X126" s="34"/>
      <c r="Y126" s="34"/>
      <c r="Z126" s="34">
        <v>79</v>
      </c>
      <c r="AA126" s="34">
        <v>82</v>
      </c>
      <c r="AB126" s="34"/>
      <c r="AC126" s="34"/>
      <c r="AD126" s="34"/>
      <c r="AE126" s="34"/>
      <c r="AG126" s="34"/>
      <c r="AH126" s="34"/>
    </row>
    <row r="127" spans="11:35" x14ac:dyDescent="0.2">
      <c r="K127" s="37">
        <f>ABS($D$22-K125)+$D$39+$D$40</f>
        <v>2</v>
      </c>
      <c r="L127" s="56">
        <f>IF(K127=0,IF(AND($D$13&lt;$M125,$D$7&gt;=$L126),1,0),0)</f>
        <v>0</v>
      </c>
      <c r="M127" s="56"/>
      <c r="N127" s="56">
        <f>IF($K127=0,IF(AND($D$13&gt;=N125,$D$13&lt;O125),IF(AND($D$7&gt;=N126,$D$7&lt;O126),1,0),0),0)</f>
        <v>0</v>
      </c>
      <c r="O127" s="56"/>
      <c r="P127" s="56">
        <f>IF($K127=0,IF(AND($D$13&gt;=P125,$D$13&lt;Q125),IF(AND($D$7&gt;=P126,$D$7&lt;Q126),1,0),0),0)</f>
        <v>0</v>
      </c>
      <c r="Q127" s="56"/>
      <c r="R127" s="56">
        <f>IF($K127=0,IF(AND($D$13&gt;=R125,$D$13&lt;S125),IF(AND($D$7&gt;=R126,$D$7&lt;S126),1,0),0),0)</f>
        <v>0</v>
      </c>
      <c r="S127" s="56"/>
      <c r="T127" s="56">
        <f>IF($K127=0,IF(AND($D$13&gt;=T125,$D$13&lt;U125),IF(AND($D$7&gt;=T126,$D$7&lt;U126),1,0),0),0)</f>
        <v>0</v>
      </c>
      <c r="U127" s="56"/>
      <c r="V127" s="56">
        <f>IF($K127+Z127=0,IF(AND($D$13&gt;=V125,$D$13&lt;W125),IF(AND($D$7&gt;=V126,$D$7&lt;W126),1,0),0),0)</f>
        <v>0</v>
      </c>
      <c r="W127" s="56"/>
      <c r="X127" s="56"/>
      <c r="Y127" s="56"/>
      <c r="Z127" s="56">
        <f>IF($K127=0,IF(AND($D$13&gt;=Z125,$D$13&lt;AA125),IF(AND($D$7&gt;=Z126,$D$7&lt;AA126),1,0),0),0)</f>
        <v>0</v>
      </c>
      <c r="AF127" s="37" t="str">
        <f>IF($D$39=1,"",IF(AH127=0,"",AF125))</f>
        <v/>
      </c>
      <c r="AH127" s="34">
        <f>L127+N127+P127+R127+T127+V127+X127+Z127+AB127</f>
        <v>0</v>
      </c>
    </row>
    <row r="128" spans="11:35" x14ac:dyDescent="0.2">
      <c r="K128" s="34">
        <v>16</v>
      </c>
      <c r="L128" s="34"/>
      <c r="M128" s="34">
        <v>1.5</v>
      </c>
      <c r="N128" s="34">
        <v>1.5</v>
      </c>
      <c r="O128" s="34">
        <v>2.8</v>
      </c>
      <c r="P128" s="34">
        <v>2.8</v>
      </c>
      <c r="Q128" s="34">
        <v>4</v>
      </c>
      <c r="R128" s="34">
        <v>0.3</v>
      </c>
      <c r="S128" s="34">
        <v>1.2</v>
      </c>
      <c r="T128" s="34">
        <v>1.2</v>
      </c>
      <c r="U128" s="34">
        <v>2.8</v>
      </c>
      <c r="V128" s="34">
        <v>2.8</v>
      </c>
      <c r="W128" s="34">
        <v>4</v>
      </c>
      <c r="Z128" s="34">
        <v>0.3</v>
      </c>
      <c r="AA128" s="34">
        <v>3.4</v>
      </c>
      <c r="AD128" s="34"/>
      <c r="AE128" s="34"/>
      <c r="AF128" s="37" t="s">
        <v>142</v>
      </c>
      <c r="AG128" s="34"/>
      <c r="AH128" s="34"/>
    </row>
    <row r="129" spans="11:34" x14ac:dyDescent="0.2">
      <c r="L129" s="34">
        <v>89.5</v>
      </c>
      <c r="M129" s="34"/>
      <c r="N129" s="34">
        <v>89.5</v>
      </c>
      <c r="O129" s="34">
        <v>94</v>
      </c>
      <c r="P129" s="34">
        <v>89.5</v>
      </c>
      <c r="Q129" s="34">
        <v>94</v>
      </c>
      <c r="R129" s="34">
        <v>82</v>
      </c>
      <c r="S129" s="34">
        <v>89.5</v>
      </c>
      <c r="T129" s="34">
        <v>82</v>
      </c>
      <c r="U129" s="34">
        <v>89.5</v>
      </c>
      <c r="V129" s="34">
        <v>79</v>
      </c>
      <c r="W129" s="34">
        <v>89.5</v>
      </c>
      <c r="X129" s="34"/>
      <c r="Y129" s="34"/>
      <c r="Z129" s="34">
        <v>79</v>
      </c>
      <c r="AA129" s="34">
        <v>82</v>
      </c>
      <c r="AB129" s="34"/>
      <c r="AC129" s="34"/>
      <c r="AD129" s="34"/>
      <c r="AE129" s="34"/>
      <c r="AG129" s="34"/>
      <c r="AH129" s="34"/>
    </row>
    <row r="130" spans="11:34" x14ac:dyDescent="0.2">
      <c r="K130" s="37">
        <f>ABS($D$22-K128)+$D$39+$D$40</f>
        <v>1</v>
      </c>
      <c r="L130" s="56">
        <f>IF(K130=0,IF(AND($D$13&lt;$M128,$D$7&gt;=$L129),1,0),0)</f>
        <v>0</v>
      </c>
      <c r="M130" s="56"/>
      <c r="N130" s="56">
        <f>IF($K130=0,IF(AND($D$13&gt;=N128,$D$13&lt;O128),IF(AND($D$7&gt;=N129,$D$7&lt;O129),1,0),0),0)</f>
        <v>0</v>
      </c>
      <c r="O130" s="56"/>
      <c r="P130" s="56">
        <f>IF($K130=0,IF(AND($D$13&gt;=P128,$D$13&lt;Q128),IF(AND($D$7&gt;=P129,$D$7&lt;Q129),1,0),0),0)</f>
        <v>0</v>
      </c>
      <c r="Q130" s="56"/>
      <c r="R130" s="56">
        <f>IF($K130=0,IF(AND($D$13&gt;=R128,$D$13&lt;S128),IF(AND($D$7&gt;=R129,$D$7&lt;S129),1,0),0),0)</f>
        <v>0</v>
      </c>
      <c r="S130" s="56"/>
      <c r="T130" s="56">
        <f>IF($K130=0,IF(AND($D$13&gt;=T128,$D$13&lt;U128),IF(AND($D$7&gt;=T129,$D$7&lt;U129),1,0),0),0)</f>
        <v>0</v>
      </c>
      <c r="U130" s="56"/>
      <c r="V130" s="56">
        <f>IF($K130+Z130=0,IF(AND($D$13&gt;=V128,$D$13&lt;W128),IF(AND($D$7&gt;=V129,$D$7&lt;W129),1,0),0),0)</f>
        <v>0</v>
      </c>
      <c r="W130" s="56"/>
      <c r="X130" s="56"/>
      <c r="Y130" s="56"/>
      <c r="Z130" s="56">
        <f>IF($K130=0,IF(AND($D$13&gt;=Z128,$D$13&lt;AA128),IF(AND($D$7&gt;=Z129,$D$7&lt;AA129),1,0),0),0)</f>
        <v>0</v>
      </c>
      <c r="AF130" s="37" t="str">
        <f>IF($D$39=1,"",IF(AH130=0,"",AF128))</f>
        <v/>
      </c>
      <c r="AH130" s="34">
        <f>L130+N130+P130+R130+T130+V130+X130+Z130+AB130</f>
        <v>0</v>
      </c>
    </row>
    <row r="131" spans="11:34" x14ac:dyDescent="0.2">
      <c r="K131" s="34">
        <v>17</v>
      </c>
      <c r="L131" s="34"/>
      <c r="M131" s="34">
        <v>1.5</v>
      </c>
      <c r="N131" s="34">
        <v>1.5</v>
      </c>
      <c r="O131" s="34">
        <v>2.5</v>
      </c>
      <c r="P131" s="34">
        <v>2.5</v>
      </c>
      <c r="Q131" s="34">
        <v>4</v>
      </c>
      <c r="R131" s="34">
        <v>0.3</v>
      </c>
      <c r="S131" s="34">
        <v>1.2</v>
      </c>
      <c r="T131" s="34">
        <v>1.2</v>
      </c>
      <c r="U131" s="34">
        <v>2.5</v>
      </c>
      <c r="V131" s="34">
        <v>2.5</v>
      </c>
      <c r="W131" s="34">
        <v>4</v>
      </c>
      <c r="Z131" s="34">
        <v>0.3</v>
      </c>
      <c r="AA131" s="34">
        <v>3</v>
      </c>
      <c r="AF131" s="37" t="s">
        <v>143</v>
      </c>
      <c r="AG131" s="34"/>
      <c r="AH131" s="34"/>
    </row>
    <row r="132" spans="11:34" x14ac:dyDescent="0.2">
      <c r="L132" s="34">
        <v>89.5</v>
      </c>
      <c r="M132" s="34"/>
      <c r="N132" s="34">
        <v>89.5</v>
      </c>
      <c r="O132" s="34">
        <v>94</v>
      </c>
      <c r="P132" s="34">
        <v>87</v>
      </c>
      <c r="Q132" s="34">
        <v>94</v>
      </c>
      <c r="R132" s="34">
        <v>82</v>
      </c>
      <c r="S132" s="34">
        <v>89.5</v>
      </c>
      <c r="T132" s="34">
        <v>82</v>
      </c>
      <c r="U132" s="34">
        <v>89.5</v>
      </c>
      <c r="V132" s="34">
        <v>79</v>
      </c>
      <c r="W132" s="34">
        <v>87</v>
      </c>
      <c r="X132" s="34"/>
      <c r="Y132" s="34"/>
      <c r="Z132" s="34">
        <v>79</v>
      </c>
      <c r="AA132" s="34">
        <v>82</v>
      </c>
      <c r="AB132" s="34"/>
      <c r="AC132" s="34"/>
      <c r="AD132" s="34"/>
      <c r="AE132" s="34"/>
      <c r="AG132" s="34"/>
      <c r="AH132" s="34"/>
    </row>
    <row r="133" spans="11:34" x14ac:dyDescent="0.2">
      <c r="K133" s="37">
        <f>ABS($D$22-K131)+$D$39+$D$40</f>
        <v>2</v>
      </c>
      <c r="L133" s="56">
        <f>IF(K133=0,IF(AND($D$13&lt;$M131,$D$7&gt;=$L132),1,0),0)</f>
        <v>0</v>
      </c>
      <c r="M133" s="56"/>
      <c r="N133" s="56">
        <f>IF($K133=0,IF(AND($D$13&gt;=N131,$D$13&lt;O131),IF(AND($D$7&gt;=N132,$D$7&lt;O132),1,0),0),0)</f>
        <v>0</v>
      </c>
      <c r="O133" s="56"/>
      <c r="P133" s="56">
        <f>IF($K133=0,IF(AND($D$13&gt;=P131,$D$13&lt;Q131),IF(AND($D$7&gt;=P132,$D$7&lt;Q132),1,0),0),0)</f>
        <v>0</v>
      </c>
      <c r="Q133" s="56"/>
      <c r="R133" s="56">
        <f>IF($K133=0,IF(AND($D$13&gt;=R131,$D$13&lt;S131),IF(AND($D$7&gt;=R132,$D$7&lt;S132),1,0),0),0)</f>
        <v>0</v>
      </c>
      <c r="S133" s="56"/>
      <c r="T133" s="56">
        <f>IF($K133=0,IF(AND($D$13&gt;=T131,$D$13&lt;U131),IF(AND($D$7&gt;=T132,$D$7&lt;U132),1,0),0),0)</f>
        <v>0</v>
      </c>
      <c r="U133" s="56"/>
      <c r="V133" s="56">
        <f>IF($K133+Z133=0,IF(AND($D$13&gt;=V131,$D$13&lt;W131),IF(AND($D$7&gt;=V132,$D$7&lt;W132),1,0),0),0)</f>
        <v>0</v>
      </c>
      <c r="W133" s="56"/>
      <c r="X133" s="56"/>
      <c r="Y133" s="56"/>
      <c r="Z133" s="56">
        <f>IF($K133=0,IF(AND($D$13&gt;=Z131,$D$13&lt;AA131),IF(AND($D$7&gt;=Z132,$D$7&lt;AA132),1,0),0),0)</f>
        <v>0</v>
      </c>
      <c r="AF133" s="37" t="str">
        <f>IF($D$39=1,"",IF(AH133=0,"",AF131))</f>
        <v/>
      </c>
      <c r="AH133" s="34">
        <f>L133+N133+P133+R133+T133+V133+X133+Z133+AB133</f>
        <v>0</v>
      </c>
    </row>
    <row r="134" spans="11:34" x14ac:dyDescent="0.2">
      <c r="K134" s="34">
        <v>18</v>
      </c>
      <c r="L134" s="34"/>
      <c r="M134" s="34">
        <v>1.5</v>
      </c>
      <c r="N134" s="34">
        <v>1.5</v>
      </c>
      <c r="O134" s="34">
        <v>3.3</v>
      </c>
      <c r="P134" s="34">
        <v>3.3</v>
      </c>
      <c r="Q134" s="34">
        <v>5</v>
      </c>
      <c r="R134" s="34">
        <v>0.3</v>
      </c>
      <c r="S134" s="34">
        <v>1.5</v>
      </c>
      <c r="T134" s="34">
        <v>1.5</v>
      </c>
      <c r="U134" s="34">
        <v>3.3</v>
      </c>
      <c r="V134" s="34">
        <v>3.3</v>
      </c>
      <c r="W134" s="34">
        <v>4</v>
      </c>
      <c r="AD134" s="34"/>
      <c r="AE134" s="34"/>
      <c r="AF134" s="37" t="s">
        <v>144</v>
      </c>
      <c r="AG134" s="34"/>
      <c r="AH134" s="34"/>
    </row>
    <row r="135" spans="11:34" x14ac:dyDescent="0.2">
      <c r="L135" s="34">
        <v>82</v>
      </c>
      <c r="M135" s="34"/>
      <c r="N135" s="34">
        <v>82</v>
      </c>
      <c r="O135" s="34">
        <v>94</v>
      </c>
      <c r="P135" s="34">
        <v>79</v>
      </c>
      <c r="Q135" s="34">
        <v>94</v>
      </c>
      <c r="R135" s="34">
        <v>66</v>
      </c>
      <c r="S135" s="34">
        <v>82</v>
      </c>
      <c r="T135" s="34">
        <v>66</v>
      </c>
      <c r="U135" s="34">
        <v>82</v>
      </c>
      <c r="V135" s="34">
        <v>66</v>
      </c>
      <c r="W135" s="34">
        <v>79</v>
      </c>
      <c r="X135" s="34"/>
      <c r="Y135" s="34"/>
      <c r="Z135" s="34"/>
      <c r="AA135" s="34"/>
      <c r="AB135" s="34"/>
      <c r="AC135" s="34"/>
      <c r="AD135" s="34"/>
      <c r="AE135" s="34"/>
      <c r="AG135" s="34"/>
      <c r="AH135" s="34"/>
    </row>
    <row r="136" spans="11:34" x14ac:dyDescent="0.2">
      <c r="K136" s="37">
        <f>ABS($D$22-K134)+$D$39+$D$40</f>
        <v>3</v>
      </c>
      <c r="L136" s="56">
        <f>IF(K136=0,IF(AND($D$13&lt;$M134,$D$7&gt;=$L135),1,0),0)</f>
        <v>0</v>
      </c>
      <c r="M136" s="56"/>
      <c r="N136" s="56">
        <f>IF($K136=0,IF(AND($D$13&gt;=N134,$D$13&lt;O134),IF(AND($D$7&gt;=N135,$D$7&lt;O135),1,0),0),0)</f>
        <v>0</v>
      </c>
      <c r="O136" s="56"/>
      <c r="P136" s="56">
        <f>IF($K136=0,IF(AND($D$13&gt;=P134,$D$13&lt;Q134),IF(AND($D$7&gt;=P135,$D$7&lt;Q135),1,0),0),0)</f>
        <v>0</v>
      </c>
      <c r="Q136" s="56"/>
      <c r="R136" s="56">
        <f>IF($K136=0,IF(AND($D$13&gt;=R134,$D$13&lt;S134),IF(AND($D$7&gt;=R135,$D$7&lt;S135),1,0),0),0)</f>
        <v>0</v>
      </c>
      <c r="S136" s="56"/>
      <c r="T136" s="56">
        <f>IF($K136=0,IF(AND($D$13&gt;=T134,$D$13&lt;U134),IF(AND($D$7&gt;=T135,$D$7&lt;U135),1,0),0),0)</f>
        <v>0</v>
      </c>
      <c r="U136" s="56"/>
      <c r="V136" s="56">
        <f>IF($K136+X136=0,IF(AND($D$13&gt;=V134,$D$13&lt;W134),IF(AND($D$7&gt;=V135,$D$7&lt;W135),1,0),0),0)</f>
        <v>0</v>
      </c>
      <c r="AF136" s="37" t="str">
        <f>IF($D$39=1,"",IF(AH136=0,"",AF134))</f>
        <v/>
      </c>
      <c r="AH136" s="34">
        <f>L136+N136+P136+R136+T136+V136+X136+Z136+AB136</f>
        <v>0</v>
      </c>
    </row>
    <row r="137" spans="11:34" x14ac:dyDescent="0.2">
      <c r="K137" s="34">
        <v>19</v>
      </c>
      <c r="L137" s="34"/>
      <c r="M137" s="34">
        <v>1.5</v>
      </c>
      <c r="N137" s="34">
        <v>1.5</v>
      </c>
      <c r="O137" s="34">
        <v>3.3</v>
      </c>
      <c r="P137" s="34">
        <v>3.3</v>
      </c>
      <c r="Q137" s="34">
        <v>5</v>
      </c>
      <c r="R137" s="34">
        <v>0.3</v>
      </c>
      <c r="S137" s="34">
        <v>1.5</v>
      </c>
      <c r="T137" s="34">
        <v>1.5</v>
      </c>
      <c r="U137" s="34">
        <v>3.3</v>
      </c>
      <c r="V137" s="34">
        <v>3.3</v>
      </c>
      <c r="W137" s="34">
        <v>4</v>
      </c>
      <c r="AD137" s="34"/>
      <c r="AE137" s="34"/>
      <c r="AF137" s="37" t="s">
        <v>144</v>
      </c>
      <c r="AG137" s="34"/>
      <c r="AH137" s="34"/>
    </row>
    <row r="138" spans="11:34" x14ac:dyDescent="0.2">
      <c r="L138" s="34">
        <v>79</v>
      </c>
      <c r="M138" s="34"/>
      <c r="N138" s="34">
        <v>79</v>
      </c>
      <c r="O138" s="34">
        <v>94</v>
      </c>
      <c r="P138" s="34">
        <v>79</v>
      </c>
      <c r="Q138" s="34">
        <v>94</v>
      </c>
      <c r="R138" s="34">
        <v>66</v>
      </c>
      <c r="S138" s="34">
        <v>79</v>
      </c>
      <c r="T138" s="34">
        <v>66</v>
      </c>
      <c r="U138" s="34">
        <v>79</v>
      </c>
      <c r="V138" s="34">
        <v>66</v>
      </c>
      <c r="W138" s="34">
        <v>79</v>
      </c>
      <c r="X138" s="34"/>
      <c r="Y138" s="34"/>
      <c r="Z138" s="34"/>
      <c r="AA138" s="34"/>
      <c r="AB138" s="34"/>
      <c r="AC138" s="34"/>
      <c r="AD138" s="34"/>
      <c r="AE138" s="34"/>
      <c r="AG138" s="34"/>
      <c r="AH138" s="34"/>
    </row>
    <row r="139" spans="11:34" x14ac:dyDescent="0.2">
      <c r="K139" s="37">
        <f>ABS($D$22-K137)+$D$39+$D$40</f>
        <v>4</v>
      </c>
      <c r="L139" s="56">
        <f>IF(K139=0,IF(AND($D$13&lt;$M137,$D$7&gt;=$L138),1,0),0)</f>
        <v>0</v>
      </c>
      <c r="M139" s="56"/>
      <c r="N139" s="56">
        <f>IF($K139=0,IF(AND($D$13&gt;=N137,$D$13&lt;O137),IF(AND($D$7&gt;=N138,$D$7&lt;O138),1,0),0),0)</f>
        <v>0</v>
      </c>
      <c r="O139" s="56"/>
      <c r="P139" s="56">
        <f>IF($K139=0,IF(AND($D$13&gt;=P137,$D$13&lt;Q137),IF(AND($D$7&gt;=P138,$D$7&lt;Q138),1,0),0),0)</f>
        <v>0</v>
      </c>
      <c r="Q139" s="56"/>
      <c r="R139" s="56">
        <f>IF($K139=0,IF(AND($D$13&gt;=R137,$D$13&lt;S137),IF(AND($D$7&gt;=R138,$D$7&lt;S138),1,0),0),0)</f>
        <v>0</v>
      </c>
      <c r="S139" s="56"/>
      <c r="T139" s="56">
        <f>IF($K139=0,IF(AND($D$13&gt;=T137,$D$13&lt;U137),IF(AND($D$7&gt;=T138,$D$7&lt;U138),1,0),0),0)</f>
        <v>0</v>
      </c>
      <c r="U139" s="56"/>
      <c r="V139" s="56">
        <f>IF($K139+X139=0,IF(AND($D$13&gt;=V137,$D$13&lt;W137),IF(AND($D$7&gt;=V138,$D$7&lt;W138),1,0),0),0)</f>
        <v>0</v>
      </c>
      <c r="AF139" s="37" t="str">
        <f>IF($D$39=1,"",IF(AH139=0,"",AF137))</f>
        <v/>
      </c>
      <c r="AH139" s="34">
        <f>L139+N139+P139+R139+T139+V139+X139+Z139+AB139</f>
        <v>0</v>
      </c>
    </row>
    <row r="140" spans="11:34" x14ac:dyDescent="0.2">
      <c r="K140" s="34">
        <v>20</v>
      </c>
      <c r="L140" s="34"/>
      <c r="M140" s="34">
        <v>1.5</v>
      </c>
      <c r="N140" s="34">
        <v>1.5</v>
      </c>
      <c r="O140" s="34">
        <v>3.3</v>
      </c>
      <c r="P140" s="34">
        <v>3.3</v>
      </c>
      <c r="Q140" s="34">
        <v>5</v>
      </c>
      <c r="R140" s="34">
        <v>0.3</v>
      </c>
      <c r="S140" s="34">
        <v>1.5</v>
      </c>
      <c r="T140" s="34">
        <v>1.5</v>
      </c>
      <c r="U140" s="34">
        <v>3.3</v>
      </c>
      <c r="V140" s="34">
        <v>3.3</v>
      </c>
      <c r="W140" s="34">
        <v>4</v>
      </c>
      <c r="X140" s="34">
        <v>0.3</v>
      </c>
      <c r="Y140" s="34">
        <v>1.5</v>
      </c>
      <c r="Z140" s="34">
        <v>1.5</v>
      </c>
      <c r="AA140" s="34">
        <v>3</v>
      </c>
      <c r="AB140" s="34">
        <v>3</v>
      </c>
      <c r="AC140" s="34">
        <v>4</v>
      </c>
      <c r="AD140" s="34"/>
      <c r="AE140" s="34"/>
      <c r="AF140" s="37" t="s">
        <v>144</v>
      </c>
      <c r="AG140" s="34"/>
      <c r="AH140" s="34"/>
    </row>
    <row r="141" spans="11:34" x14ac:dyDescent="0.2">
      <c r="L141" s="34">
        <v>79</v>
      </c>
      <c r="M141" s="34"/>
      <c r="N141" s="34">
        <v>79</v>
      </c>
      <c r="O141" s="34">
        <v>94</v>
      </c>
      <c r="P141" s="34">
        <v>79</v>
      </c>
      <c r="Q141" s="34">
        <v>94</v>
      </c>
      <c r="R141" s="34">
        <v>62</v>
      </c>
      <c r="S141" s="34">
        <v>79</v>
      </c>
      <c r="T141" s="34">
        <v>62</v>
      </c>
      <c r="U141" s="34">
        <v>79</v>
      </c>
      <c r="V141" s="34">
        <v>62</v>
      </c>
      <c r="W141" s="34">
        <v>79</v>
      </c>
      <c r="X141" s="34">
        <v>46</v>
      </c>
      <c r="Y141" s="34">
        <v>62</v>
      </c>
      <c r="Z141" s="34">
        <v>46</v>
      </c>
      <c r="AA141" s="34">
        <v>62</v>
      </c>
      <c r="AB141" s="34">
        <v>46</v>
      </c>
      <c r="AC141" s="34">
        <v>62</v>
      </c>
      <c r="AD141" s="34"/>
      <c r="AE141" s="34"/>
      <c r="AG141" s="34"/>
      <c r="AH141" s="34"/>
    </row>
    <row r="142" spans="11:34" x14ac:dyDescent="0.2">
      <c r="K142" s="37">
        <f>ABS($D$22-K140)+$D$39+$D$40</f>
        <v>5</v>
      </c>
      <c r="L142" s="56">
        <f>IF(K142=0,IF(AND($D$13&lt;$M140,$D$7&gt;=$L141),1,0),0)</f>
        <v>0</v>
      </c>
      <c r="M142" s="56"/>
      <c r="N142" s="56">
        <f>IF($K142=0,IF(AND($D$13&gt;=N140,$D$13&lt;O140),IF(AND($D$7&gt;=N141,$D$7&lt;O141),1,0),0),0)</f>
        <v>0</v>
      </c>
      <c r="O142" s="56"/>
      <c r="P142" s="56">
        <f>IF($K142=0,IF(AND($D$13&gt;=P140,$D$13&lt;Q140),IF(AND($D$7&gt;=P141,$D$7&lt;Q141),1,0),0),0)</f>
        <v>0</v>
      </c>
      <c r="Q142" s="56"/>
      <c r="R142" s="56">
        <f>IF($K142=0,IF(AND($D$13&gt;=R140,$D$13&lt;S140),IF(AND($D$7&gt;=R141,$D$7&lt;S141),1,0),0),0)</f>
        <v>0</v>
      </c>
      <c r="S142" s="56"/>
      <c r="T142" s="56">
        <f>IF($K142=0,IF(AND($D$13&gt;=T140,$D$13&lt;U140),IF(AND($D$7&gt;=T141,$D$7&lt;U141),1,0),0),0)</f>
        <v>0</v>
      </c>
      <c r="U142" s="56"/>
      <c r="V142" s="56">
        <f>IF($K142=0,IF(AND($D$13&gt;=V140,$D$13&lt;W140),IF(AND($D$7&gt;=V141,$D$7&lt;W141),1,0),0),0)</f>
        <v>0</v>
      </c>
      <c r="X142" s="56">
        <f>IF($K142=0,IF(AND($D$13&gt;=X140,$D$13&lt;Y140),IF(AND($D$7&gt;=X141,$D$7&lt;Y141),1,0),0),0)</f>
        <v>0</v>
      </c>
      <c r="Z142" s="56">
        <f>IF($K142=0,IF(AND($D$13&gt;=Z140,$D$13&lt;AA140),IF(AND($D$7&gt;=Z141,$D$7&lt;AA141),1,0),0),0)</f>
        <v>0</v>
      </c>
      <c r="AB142" s="56">
        <f>IF($K142=0,IF(AND($D$13&gt;=AB140,$D$13&lt;AC140),IF(AND($D$7&gt;=AB141,$D$7&lt;AC141),1,0),0),0)</f>
        <v>0</v>
      </c>
      <c r="AF142" s="37" t="str">
        <f>IF($D$39=1,"",IF(AH142=0,"",AF140))</f>
        <v/>
      </c>
      <c r="AH142" s="34">
        <f>L142+N142+P142+R142+T142+V142+X142+Z142+AB142</f>
        <v>0</v>
      </c>
    </row>
    <row r="143" spans="11:34" x14ac:dyDescent="0.2">
      <c r="K143" s="34">
        <v>21</v>
      </c>
      <c r="L143" s="34"/>
      <c r="M143" s="34">
        <v>1.5</v>
      </c>
      <c r="N143" s="34">
        <v>1.5</v>
      </c>
      <c r="O143" s="34">
        <v>3.3</v>
      </c>
      <c r="P143" s="34">
        <v>3.3</v>
      </c>
      <c r="Q143" s="34">
        <v>5</v>
      </c>
      <c r="R143" s="34">
        <v>0.3</v>
      </c>
      <c r="S143" s="34">
        <v>1.5</v>
      </c>
      <c r="T143" s="34">
        <v>1.5</v>
      </c>
      <c r="U143" s="34">
        <v>3.3</v>
      </c>
      <c r="V143" s="34">
        <v>3.3</v>
      </c>
      <c r="W143" s="34">
        <v>4</v>
      </c>
      <c r="X143" s="34">
        <v>0.3</v>
      </c>
      <c r="Y143" s="34">
        <v>1.5</v>
      </c>
      <c r="Z143" s="34">
        <v>1.5</v>
      </c>
      <c r="AA143" s="34">
        <v>3</v>
      </c>
      <c r="AB143" s="34">
        <v>3</v>
      </c>
      <c r="AC143" s="34">
        <v>4</v>
      </c>
      <c r="AF143" s="37" t="s">
        <v>144</v>
      </c>
      <c r="AH143" s="34"/>
    </row>
    <row r="144" spans="11:34" x14ac:dyDescent="0.2">
      <c r="L144" s="34">
        <v>79</v>
      </c>
      <c r="M144" s="34"/>
      <c r="N144" s="34">
        <v>76</v>
      </c>
      <c r="O144" s="34">
        <v>94</v>
      </c>
      <c r="P144" s="34">
        <v>73</v>
      </c>
      <c r="Q144" s="34">
        <v>94</v>
      </c>
      <c r="R144" s="34">
        <v>62</v>
      </c>
      <c r="S144" s="34">
        <v>79</v>
      </c>
      <c r="T144" s="34">
        <v>57</v>
      </c>
      <c r="U144" s="34">
        <v>76</v>
      </c>
      <c r="V144" s="34">
        <v>57</v>
      </c>
      <c r="W144" s="34">
        <v>73</v>
      </c>
      <c r="X144" s="34">
        <v>46</v>
      </c>
      <c r="Y144" s="34">
        <v>62</v>
      </c>
      <c r="Z144" s="34">
        <v>46</v>
      </c>
      <c r="AA144" s="34">
        <v>57</v>
      </c>
      <c r="AB144" s="34">
        <v>46</v>
      </c>
      <c r="AC144" s="34">
        <v>57</v>
      </c>
      <c r="AD144" s="34"/>
      <c r="AE144" s="34"/>
      <c r="AG144" s="34"/>
      <c r="AH144" s="34"/>
    </row>
    <row r="145" spans="8:35" x14ac:dyDescent="0.2">
      <c r="K145" s="37">
        <f>ABS($D$22-K143)+$D$39+$D$40</f>
        <v>6</v>
      </c>
      <c r="L145" s="56">
        <f>IF(K145=0,IF(AND($D$13&lt;$M143,$D$7&gt;=$L144),1,0),0)</f>
        <v>0</v>
      </c>
      <c r="M145" s="56"/>
      <c r="N145" s="56">
        <f>IF($K145=0,IF(AND($D$13&gt;=N143,$D$13&lt;O143),IF(AND($D$7&gt;=N144,$D$7&lt;O144),1,0),0),0)</f>
        <v>0</v>
      </c>
      <c r="O145" s="56"/>
      <c r="P145" s="37">
        <f>IF($K145+AI145=0,IF(AND($D$13&gt;=P143,$D$13&lt;Q143),IF(AND($D$7&gt;=P144,$D$7&lt;Q144),1,0),0),0)</f>
        <v>0</v>
      </c>
      <c r="Q145" s="56"/>
      <c r="R145" s="56">
        <f>IF($K145=0,IF(AND($D$13&gt;=R143,$D$13&lt;S143),IF(AND($D$7&gt;=R144,$D$7&lt;S144),1,0),0),0)</f>
        <v>0</v>
      </c>
      <c r="S145" s="56"/>
      <c r="T145" s="56">
        <f>IF($K145=0,IF(AND($D$13&gt;=T143,$D$13&lt;U143),IF(AND($D$7&gt;=T144,$D$7&lt;U144),1,0),0),0)</f>
        <v>0</v>
      </c>
      <c r="U145" s="56"/>
      <c r="V145" s="56">
        <f>IF($K145=0,IF(AND($D$13&gt;=V143,$D$13&lt;W143),IF(AND($D$7&gt;=V144,$D$7&lt;W144),1,0),0),0)</f>
        <v>0</v>
      </c>
      <c r="X145" s="56">
        <f>IF($K145=0,IF(AND($D$13&gt;=X143,$D$13&lt;Y143),IF(AND($D$7&gt;=X144,$D$7&lt;Y144),1,0),0),0)</f>
        <v>0</v>
      </c>
      <c r="Z145" s="56">
        <f>IF($K145=0,IF(AND($D$13&gt;=Z143,$D$13&lt;AA143),IF(AND($D$7&gt;=Z144,$D$7&lt;AA144),1,0),0),0)</f>
        <v>0</v>
      </c>
      <c r="AB145" s="56">
        <f>IF($K145=0,IF(AND($D$13&gt;=AB143,$D$13&lt;AC143),IF(AND($D$7&gt;=AB144,$D$7&lt;AC144),1,0),0),0)</f>
        <v>0</v>
      </c>
      <c r="AF145" s="37" t="str">
        <f>IF($D$39=1,"",IF(AH145=0,"",AF143))</f>
        <v/>
      </c>
      <c r="AH145" s="34">
        <f>L145+N145+P145+R145+T145+V145+X145+Z145+AB145</f>
        <v>0</v>
      </c>
      <c r="AI145" s="37">
        <f>IF(K145=0,IF(AND(($D$13-4)*($D$13-5)&lt;=0,$D$7&lt;79),1,0),0)</f>
        <v>0</v>
      </c>
    </row>
    <row r="146" spans="8:35" x14ac:dyDescent="0.2">
      <c r="K146" s="34">
        <v>22</v>
      </c>
      <c r="L146" s="34"/>
      <c r="M146" s="34">
        <v>1.5</v>
      </c>
      <c r="N146" s="34">
        <v>1.5</v>
      </c>
      <c r="O146" s="34">
        <v>3.5</v>
      </c>
      <c r="P146" s="34">
        <v>3.5</v>
      </c>
      <c r="Q146" s="34">
        <v>5</v>
      </c>
      <c r="R146" s="34">
        <v>0.3</v>
      </c>
      <c r="S146" s="34">
        <v>1.5</v>
      </c>
      <c r="T146" s="34">
        <v>1.5</v>
      </c>
      <c r="U146" s="34">
        <v>3.3</v>
      </c>
      <c r="V146" s="34">
        <v>3.5</v>
      </c>
      <c r="W146" s="34">
        <v>5</v>
      </c>
      <c r="X146" s="34">
        <v>0.3</v>
      </c>
      <c r="Y146" s="34">
        <v>1.5</v>
      </c>
      <c r="Z146" s="34">
        <v>1.5</v>
      </c>
      <c r="AA146" s="34">
        <v>3.3</v>
      </c>
      <c r="AB146" s="34">
        <v>3.3</v>
      </c>
      <c r="AC146" s="34">
        <v>4</v>
      </c>
      <c r="AF146" s="37" t="s">
        <v>144</v>
      </c>
      <c r="AH146" s="34"/>
    </row>
    <row r="147" spans="8:35" x14ac:dyDescent="0.2">
      <c r="L147" s="34">
        <v>79</v>
      </c>
      <c r="M147" s="34"/>
      <c r="N147" s="34">
        <v>76</v>
      </c>
      <c r="O147" s="34">
        <v>94</v>
      </c>
      <c r="P147" s="34">
        <v>73</v>
      </c>
      <c r="Q147" s="34">
        <v>94</v>
      </c>
      <c r="R147" s="34">
        <v>62</v>
      </c>
      <c r="S147" s="34">
        <v>79</v>
      </c>
      <c r="T147" s="34">
        <v>57</v>
      </c>
      <c r="U147" s="34">
        <v>76</v>
      </c>
      <c r="V147" s="34">
        <v>57</v>
      </c>
      <c r="W147" s="34">
        <v>73</v>
      </c>
      <c r="X147" s="34">
        <v>46</v>
      </c>
      <c r="Y147" s="34">
        <v>62</v>
      </c>
      <c r="Z147" s="34">
        <v>46</v>
      </c>
      <c r="AA147" s="34">
        <v>57</v>
      </c>
      <c r="AB147" s="34">
        <v>46</v>
      </c>
      <c r="AC147" s="34">
        <v>57</v>
      </c>
      <c r="AD147" s="34"/>
      <c r="AE147" s="34"/>
      <c r="AG147" s="34"/>
      <c r="AH147" s="34"/>
    </row>
    <row r="148" spans="8:35" x14ac:dyDescent="0.2">
      <c r="K148" s="37">
        <f>ABS($D$22-K146)+$D$39+$D$40</f>
        <v>7</v>
      </c>
      <c r="L148" s="56">
        <f>IF(K148=0,IF(AND($D$13&lt;$M146,$D$7&gt;=$L147),1,0),0)</f>
        <v>0</v>
      </c>
      <c r="M148" s="56"/>
      <c r="N148" s="56">
        <f>IF($K148=0,IF(AND($D$13&gt;=N146,$D$13&lt;O146),IF(AND($D$7&gt;=N147,$D$7&lt;O147),1,0),0),0)</f>
        <v>0</v>
      </c>
      <c r="O148" s="56"/>
      <c r="P148" s="56">
        <f>IF($K148=0,IF(AND($D$13&gt;=P146,$D$13&lt;Q146),IF(AND($D$7&gt;=P147,$D$7&lt;Q147),1,0),0),0)</f>
        <v>0</v>
      </c>
      <c r="Q148" s="56"/>
      <c r="R148" s="56">
        <f>IF($K148=0,IF(AND($D$13&gt;=R146,$D$13&lt;S146),IF(AND($D$7&gt;=R147,$D$7&lt;S147),1,0),0),0)</f>
        <v>0</v>
      </c>
      <c r="S148" s="56"/>
      <c r="T148" s="56">
        <f>IF($K148=0,IF(AND($D$13&gt;=T146,$D$13&lt;U146),IF(AND($D$7&gt;=T147,$D$7&lt;U147),1,0),0),0)</f>
        <v>0</v>
      </c>
      <c r="U148" s="56"/>
      <c r="V148" s="56">
        <f>IF($K148=0,IF(AND($D$13&gt;=V146,$D$13&lt;W146),IF(AND($D$7&gt;=V147,$D$7&lt;W147),1,0),0),0)</f>
        <v>0</v>
      </c>
      <c r="X148" s="56">
        <f>IF($K148=0,IF(AND($D$13&gt;=X146,$D$13&lt;Y146),IF(AND($D$7&gt;=X147,$D$7&lt;Y147),1,0),0),0)</f>
        <v>0</v>
      </c>
      <c r="Z148" s="56">
        <f>IF($K148=0,IF(AND($D$13&gt;=Z146,$D$13&lt;AA146),IF(AND($D$7&gt;=Z147,$D$7&lt;AA147),1,0),0),0)</f>
        <v>0</v>
      </c>
      <c r="AB148" s="56">
        <f>IF($K148=0,IF(AND($D$13&gt;=AB146,$D$13&lt;AC146),IF(AND($D$7&gt;=AB147,$D$7&lt;AC147),1,0),0),0)</f>
        <v>0</v>
      </c>
      <c r="AF148" s="37" t="str">
        <f>IF($D$39=1,"",IF(AH148=0,"",AF146))</f>
        <v/>
      </c>
      <c r="AH148" s="34">
        <f>L148+N148+P148+R148+T148+V148+X148+Z148+AB148</f>
        <v>0</v>
      </c>
    </row>
    <row r="149" spans="8:35" x14ac:dyDescent="0.2">
      <c r="K149" s="34">
        <v>23</v>
      </c>
      <c r="L149" s="34"/>
      <c r="M149" s="34">
        <v>1.5</v>
      </c>
      <c r="N149" s="34">
        <v>1.5</v>
      </c>
      <c r="O149" s="34">
        <v>3.5</v>
      </c>
      <c r="P149" s="34">
        <v>3.5</v>
      </c>
      <c r="Q149" s="34">
        <v>5</v>
      </c>
      <c r="R149" s="34">
        <v>0.3</v>
      </c>
      <c r="S149" s="34">
        <v>1.5</v>
      </c>
      <c r="T149" s="34">
        <v>1.5</v>
      </c>
      <c r="U149" s="34">
        <v>3.5</v>
      </c>
      <c r="V149" s="34">
        <v>3.5</v>
      </c>
      <c r="W149" s="34">
        <v>5</v>
      </c>
      <c r="X149" s="34">
        <v>0.3</v>
      </c>
      <c r="Y149" s="34">
        <v>1.5</v>
      </c>
      <c r="Z149" s="34">
        <v>1.5</v>
      </c>
      <c r="AA149" s="34">
        <v>3.5</v>
      </c>
      <c r="AB149" s="34">
        <v>3.5</v>
      </c>
      <c r="AC149" s="34">
        <v>5</v>
      </c>
      <c r="AF149" s="37" t="s">
        <v>28</v>
      </c>
      <c r="AH149" s="34"/>
    </row>
    <row r="150" spans="8:35" x14ac:dyDescent="0.2">
      <c r="L150" s="34">
        <v>79</v>
      </c>
      <c r="M150" s="34"/>
      <c r="N150" s="34">
        <v>76</v>
      </c>
      <c r="O150" s="34">
        <v>94</v>
      </c>
      <c r="P150" s="34">
        <v>70</v>
      </c>
      <c r="Q150" s="34">
        <v>94</v>
      </c>
      <c r="R150" s="34">
        <v>62</v>
      </c>
      <c r="S150" s="34">
        <v>79</v>
      </c>
      <c r="T150" s="34">
        <v>57</v>
      </c>
      <c r="U150" s="34">
        <v>76</v>
      </c>
      <c r="V150" s="34">
        <v>57</v>
      </c>
      <c r="W150" s="34">
        <v>70</v>
      </c>
      <c r="X150" s="34">
        <v>46</v>
      </c>
      <c r="Y150" s="34">
        <v>62</v>
      </c>
      <c r="Z150" s="34">
        <v>46</v>
      </c>
      <c r="AA150" s="34">
        <v>57</v>
      </c>
      <c r="AB150" s="34">
        <v>46</v>
      </c>
      <c r="AC150" s="34">
        <v>57</v>
      </c>
      <c r="AD150" s="34"/>
      <c r="AE150" s="34"/>
      <c r="AG150" s="34"/>
      <c r="AH150" s="34"/>
    </row>
    <row r="151" spans="8:35" x14ac:dyDescent="0.2">
      <c r="K151" s="37">
        <f>ABS($D$22-K149)+$D$39+$D$40</f>
        <v>8</v>
      </c>
      <c r="L151" s="56">
        <f>IF(K151=0,IF(AND($D$13&lt;$M149,$D$7&gt;=$L150),1,0),0)</f>
        <v>0</v>
      </c>
      <c r="M151" s="56"/>
      <c r="N151" s="56">
        <f>IF($K151=0,IF(AND($D$13&gt;=N149,$D$13&lt;O149),IF(AND($D$7&gt;=N150,$D$7&lt;O150),1,0),0),0)</f>
        <v>0</v>
      </c>
      <c r="O151" s="56"/>
      <c r="P151" s="56">
        <f>IF($K151=0,IF(AND($D$13&gt;=P149,$D$13&lt;Q149),IF(AND($D$7&gt;=P150,$D$7&lt;Q150),1,0),0),0)</f>
        <v>0</v>
      </c>
      <c r="Q151" s="56"/>
      <c r="R151" s="56">
        <f>IF($K151=0,IF(AND($D$13&gt;=R149,$D$13&lt;S149),IF(AND($D$7&gt;=R150,$D$7&lt;S150),1,0),0),0)</f>
        <v>0</v>
      </c>
      <c r="S151" s="56"/>
      <c r="T151" s="56">
        <f>IF($K151=0,IF(AND($D$13&gt;=T149,$D$13&lt;U149),IF(AND($D$7&gt;=T150,$D$7&lt;U150),1,0),0),0)</f>
        <v>0</v>
      </c>
      <c r="U151" s="56"/>
      <c r="V151" s="56">
        <f>IF($K151=0,IF(AND($D$13&gt;=V149,$D$13&lt;W149),IF(AND($D$7&gt;=V150,$D$7&lt;W150),1,0),0),0)</f>
        <v>0</v>
      </c>
      <c r="X151" s="56">
        <f>IF($K151=0,IF(AND($D$13&gt;=X149,$D$13&lt;Y149),IF(AND($D$7&gt;=X150,$D$7&lt;Y150),1,0),0),0)</f>
        <v>0</v>
      </c>
      <c r="Z151" s="56">
        <f>IF($K151=0,IF(AND($D$13&gt;=Z149,$D$13&lt;AA149),IF(AND($D$7&gt;=Z150,$D$7&lt;AA150),1,0),0),0)</f>
        <v>0</v>
      </c>
      <c r="AB151" s="56">
        <f>IF($K151=0,IF(AND($D$13&gt;=AB149,$D$13&lt;AC149),IF(AND($D$7&gt;=AB150,$D$7&lt;AC150),1,0),0),0)</f>
        <v>0</v>
      </c>
      <c r="AF151" s="37" t="str">
        <f>IF($D$39=1,"",IF(AH151=0,"",AF149))</f>
        <v/>
      </c>
      <c r="AH151" s="34">
        <f>L151+N151+P151+R151+T151+V151+X151+Z151+AB151</f>
        <v>0</v>
      </c>
    </row>
    <row r="152" spans="8:35" x14ac:dyDescent="0.2">
      <c r="K152" s="34">
        <v>24</v>
      </c>
      <c r="L152" s="34"/>
      <c r="M152" s="34">
        <v>1.5</v>
      </c>
      <c r="N152" s="34">
        <v>1.5</v>
      </c>
      <c r="O152" s="34">
        <v>3.5</v>
      </c>
      <c r="P152" s="34">
        <v>3.5</v>
      </c>
      <c r="Q152" s="34">
        <v>5</v>
      </c>
      <c r="R152" s="34">
        <v>0.3</v>
      </c>
      <c r="S152" s="34">
        <v>1.5</v>
      </c>
      <c r="T152" s="34">
        <v>1.5</v>
      </c>
      <c r="U152" s="34">
        <v>3.5</v>
      </c>
      <c r="V152" s="34">
        <v>3.5</v>
      </c>
      <c r="W152" s="34">
        <v>5</v>
      </c>
      <c r="X152" s="34">
        <v>0.3</v>
      </c>
      <c r="Y152" s="34">
        <v>1.5</v>
      </c>
      <c r="Z152" s="34">
        <v>1.5</v>
      </c>
      <c r="AA152" s="34">
        <v>3.5</v>
      </c>
      <c r="AB152" s="34">
        <v>3.5</v>
      </c>
      <c r="AC152" s="34">
        <v>5</v>
      </c>
      <c r="AF152" s="37" t="s">
        <v>28</v>
      </c>
      <c r="AH152" s="34"/>
    </row>
    <row r="153" spans="8:35" x14ac:dyDescent="0.2">
      <c r="L153" s="34">
        <v>79</v>
      </c>
      <c r="M153" s="34"/>
      <c r="N153" s="34">
        <v>76</v>
      </c>
      <c r="O153" s="34">
        <v>94</v>
      </c>
      <c r="P153" s="34">
        <v>70</v>
      </c>
      <c r="Q153" s="34">
        <v>94</v>
      </c>
      <c r="R153" s="34">
        <v>62</v>
      </c>
      <c r="S153" s="34">
        <v>79</v>
      </c>
      <c r="T153" s="34">
        <v>57</v>
      </c>
      <c r="U153" s="34">
        <v>76</v>
      </c>
      <c r="V153" s="34">
        <v>57</v>
      </c>
      <c r="W153" s="34">
        <v>70</v>
      </c>
      <c r="X153" s="34">
        <v>46</v>
      </c>
      <c r="Y153" s="34">
        <v>62</v>
      </c>
      <c r="Z153" s="34">
        <v>46</v>
      </c>
      <c r="AA153" s="34">
        <v>57</v>
      </c>
      <c r="AB153" s="34">
        <v>46</v>
      </c>
      <c r="AC153" s="34">
        <v>57</v>
      </c>
      <c r="AD153" s="34"/>
      <c r="AE153" s="34"/>
      <c r="AG153" s="34"/>
      <c r="AH153" s="34"/>
    </row>
    <row r="154" spans="8:35" x14ac:dyDescent="0.2">
      <c r="K154" s="37">
        <f>ABS($D$22-K152)+$D$39+$D$40</f>
        <v>9</v>
      </c>
      <c r="L154" s="56">
        <f>IF(K154=0,IF(AND($D$13&lt;$M152,$D$7&gt;=$L153),1,0),0)</f>
        <v>0</v>
      </c>
      <c r="M154" s="56"/>
      <c r="N154" s="56">
        <f>IF($K154=0,IF(AND($D$13&gt;=N152,$D$13&lt;O152),IF(AND($D$7&gt;=N153,$D$7&lt;O153),1,0),0),0)</f>
        <v>0</v>
      </c>
      <c r="O154" s="56"/>
      <c r="P154" s="56">
        <f>IF($K154=0,IF(AND($D$13&gt;=P152,$D$13&lt;Q152),IF(AND($D$7&gt;=P153,$D$7&lt;Q153),1,0),0),0)</f>
        <v>0</v>
      </c>
      <c r="Q154" s="56"/>
      <c r="R154" s="56">
        <f>IF($K154=0,IF(AND($D$13&gt;=R152,$D$13&lt;S152),IF(AND($D$7&gt;=R153,$D$7&lt;S153),1,0),0),0)</f>
        <v>0</v>
      </c>
      <c r="S154" s="56"/>
      <c r="T154" s="56">
        <f>IF($K154=0,IF(AND($D$13&gt;=T152,$D$13&lt;U152),IF(AND($D$7&gt;=T153,$D$7&lt;U153),1,0),0),0)</f>
        <v>0</v>
      </c>
      <c r="U154" s="56"/>
      <c r="V154" s="56">
        <f>IF($K154=0,IF(AND($D$13&gt;=V152,$D$13&lt;W152),IF(AND($D$7&gt;=V153,$D$7&lt;W153),1,0),0),0)</f>
        <v>0</v>
      </c>
      <c r="X154" s="56">
        <f>IF($K154=0,IF(AND($D$13&gt;=X152,$D$13&lt;Y152),IF(AND($D$7&gt;=X153,$D$7&lt;Y153),1,0),0),0)</f>
        <v>0</v>
      </c>
      <c r="Z154" s="56">
        <f>IF($K154=0,IF(AND($D$13&gt;=Z152,$D$13&lt;AA152),IF(AND($D$7&gt;=Z153,$D$7&lt;AA153),1,0),0),0)</f>
        <v>0</v>
      </c>
      <c r="AB154" s="56">
        <f>IF($K154=0,IF(AND($D$13&gt;=AB152,$D$13&lt;AC152),IF(AND($D$7&gt;=AB153,$D$7&lt;AC153),1,0),0),0)</f>
        <v>0</v>
      </c>
      <c r="AF154" s="37" t="str">
        <f>IF($D$39=1,"",IF(AH154=0,"",AF152))</f>
        <v/>
      </c>
      <c r="AH154" s="34">
        <f>L154+N154+P154+R154+T154+V154+X154+Z154+AB154</f>
        <v>0</v>
      </c>
    </row>
    <row r="155" spans="8:35" x14ac:dyDescent="0.2">
      <c r="K155" s="34">
        <v>25</v>
      </c>
      <c r="L155" s="34"/>
      <c r="M155" s="34">
        <v>1.5</v>
      </c>
      <c r="N155" s="34">
        <v>1.5</v>
      </c>
      <c r="O155" s="34">
        <v>3.5</v>
      </c>
      <c r="P155" s="34">
        <v>3.5</v>
      </c>
      <c r="Q155" s="34">
        <v>5</v>
      </c>
      <c r="R155" s="34">
        <v>0.3</v>
      </c>
      <c r="S155" s="34">
        <v>1.5</v>
      </c>
      <c r="T155" s="34">
        <v>1.5</v>
      </c>
      <c r="U155" s="34">
        <v>3.5</v>
      </c>
      <c r="V155" s="34">
        <v>3.5</v>
      </c>
      <c r="W155" s="34">
        <v>5</v>
      </c>
      <c r="X155" s="34">
        <v>0.3</v>
      </c>
      <c r="Y155" s="34">
        <v>1.5</v>
      </c>
      <c r="Z155" s="34">
        <v>1.5</v>
      </c>
      <c r="AA155" s="34">
        <v>3.5</v>
      </c>
      <c r="AB155" s="34">
        <v>3.5</v>
      </c>
      <c r="AC155" s="34">
        <v>5</v>
      </c>
      <c r="AF155" s="37" t="s">
        <v>29</v>
      </c>
      <c r="AH155" s="34"/>
    </row>
    <row r="156" spans="8:35" x14ac:dyDescent="0.2">
      <c r="H156" s="40"/>
      <c r="L156" s="34">
        <v>79</v>
      </c>
      <c r="M156" s="34"/>
      <c r="N156" s="34">
        <v>76</v>
      </c>
      <c r="O156" s="34">
        <v>94</v>
      </c>
      <c r="P156" s="34">
        <v>70</v>
      </c>
      <c r="Q156" s="34">
        <v>94</v>
      </c>
      <c r="R156" s="34">
        <v>62</v>
      </c>
      <c r="S156" s="34">
        <v>79</v>
      </c>
      <c r="T156" s="34">
        <v>57</v>
      </c>
      <c r="U156" s="34">
        <v>76</v>
      </c>
      <c r="V156" s="34">
        <v>52</v>
      </c>
      <c r="W156" s="34">
        <v>70</v>
      </c>
      <c r="X156" s="34">
        <v>46</v>
      </c>
      <c r="Y156" s="34">
        <v>62</v>
      </c>
      <c r="Z156" s="34">
        <v>46</v>
      </c>
      <c r="AA156" s="34">
        <v>57</v>
      </c>
      <c r="AB156" s="34">
        <v>46</v>
      </c>
      <c r="AC156" s="34">
        <v>52</v>
      </c>
      <c r="AD156" s="34"/>
      <c r="AE156" s="34"/>
      <c r="AG156" s="34"/>
      <c r="AH156" s="34"/>
    </row>
    <row r="157" spans="8:35" x14ac:dyDescent="0.2">
      <c r="H157" s="40"/>
      <c r="K157" s="37">
        <f>ABS($D$22-K155)+$D$39+$D$40</f>
        <v>10</v>
      </c>
      <c r="L157" s="56">
        <f>IF(K157=0,IF(AND($D$13&lt;$M155,$D$7&gt;=$L156),1,0),0)</f>
        <v>0</v>
      </c>
      <c r="M157" s="56"/>
      <c r="N157" s="56">
        <f>IF($K157=0,IF(AND($D$13&gt;=N155,$D$13&lt;O155),IF(AND($D$7&gt;=N156,$D$7&lt;O156),1,0),0),0)</f>
        <v>0</v>
      </c>
      <c r="O157" s="56"/>
      <c r="P157" s="56">
        <f>IF($K157=0,IF(AND($D$13&gt;=P155,$D$13&lt;Q155),IF(AND($D$7&gt;=P156,$D$7&lt;Q156),1,0),0),0)</f>
        <v>0</v>
      </c>
      <c r="Q157" s="56"/>
      <c r="R157" s="56">
        <f>IF($K157=0,IF(AND($D$13&gt;=R155,$D$13&lt;S155),IF(AND($D$7&gt;=R156,$D$7&lt;S156),1,0),0),0)</f>
        <v>0</v>
      </c>
      <c r="S157" s="56"/>
      <c r="T157" s="56">
        <f>IF($K157=0,IF(AND($D$13&gt;=T155,$D$13&lt;U155),IF(AND($D$7&gt;=T156,$D$7&lt;U156),1,0),0),0)</f>
        <v>0</v>
      </c>
      <c r="U157" s="56"/>
      <c r="V157" s="56">
        <f>IF($K157=0,IF(AND($D$13&gt;=V155,$D$13&lt;W155),IF(AND($D$7&gt;=V156,$D$7&lt;W156),1,0),0),0)</f>
        <v>0</v>
      </c>
      <c r="X157" s="56">
        <f>IF($K157=0,IF(AND($D$13&gt;=X155,$D$13&lt;Y155),IF(AND($D$7&gt;=X156,$D$7&lt;Y156),1,0),0),0)</f>
        <v>0</v>
      </c>
      <c r="Z157" s="56">
        <f>IF($K157=0,IF(AND($D$13&gt;=Z155,$D$13&lt;AA155),IF(AND($D$7&gt;=Z156,$D$7&lt;AA156),1,0),0),0)</f>
        <v>0</v>
      </c>
      <c r="AB157" s="56">
        <f>IF($K157=0,IF(AND($D$13&gt;=AB155,$D$13&lt;AC155),IF(AND($D$7&gt;=AB156,$D$7&lt;AC156),1,0),0),0)</f>
        <v>0</v>
      </c>
      <c r="AF157" s="37" t="str">
        <f>IF($D$39=1,"",IF(AH157=0,"",AF155))</f>
        <v/>
      </c>
      <c r="AH157" s="34">
        <f>L157+N157+P157+R157+T157+V157+X157+Z157+AB157</f>
        <v>0</v>
      </c>
    </row>
    <row r="158" spans="8:35" x14ac:dyDescent="0.2">
      <c r="K158" s="34">
        <v>26</v>
      </c>
      <c r="L158" s="34"/>
      <c r="M158" s="34">
        <v>1.5</v>
      </c>
      <c r="N158" s="34">
        <v>1.5</v>
      </c>
      <c r="O158" s="34">
        <v>3</v>
      </c>
      <c r="P158" s="34">
        <v>3</v>
      </c>
      <c r="Q158" s="34">
        <v>4.5</v>
      </c>
      <c r="R158" s="34">
        <v>0.3</v>
      </c>
      <c r="S158" s="34">
        <v>1.5</v>
      </c>
      <c r="T158" s="34">
        <v>1.5</v>
      </c>
      <c r="U158" s="34">
        <v>3.3</v>
      </c>
      <c r="V158" s="34">
        <v>3.3</v>
      </c>
      <c r="W158" s="34">
        <v>4.5</v>
      </c>
      <c r="X158" s="34">
        <v>0.3</v>
      </c>
      <c r="Y158" s="34">
        <v>1.5</v>
      </c>
      <c r="Z158" s="34">
        <v>1.5</v>
      </c>
      <c r="AA158" s="34">
        <v>4</v>
      </c>
      <c r="AF158" s="37" t="s">
        <v>29</v>
      </c>
      <c r="AH158" s="34"/>
    </row>
    <row r="159" spans="8:35" x14ac:dyDescent="0.2">
      <c r="L159" s="34">
        <v>79</v>
      </c>
      <c r="M159" s="34"/>
      <c r="N159" s="34">
        <v>76</v>
      </c>
      <c r="O159" s="34">
        <v>94</v>
      </c>
      <c r="P159" s="34">
        <v>70</v>
      </c>
      <c r="Q159" s="34">
        <v>94</v>
      </c>
      <c r="R159" s="34">
        <v>62</v>
      </c>
      <c r="S159" s="34">
        <v>79</v>
      </c>
      <c r="T159" s="34">
        <v>57</v>
      </c>
      <c r="U159" s="34">
        <v>76</v>
      </c>
      <c r="V159" s="34">
        <v>52</v>
      </c>
      <c r="W159" s="34">
        <v>70</v>
      </c>
      <c r="X159" s="34">
        <v>46</v>
      </c>
      <c r="Y159" s="34">
        <v>62</v>
      </c>
      <c r="Z159" s="34">
        <v>46</v>
      </c>
      <c r="AA159" s="34">
        <v>57</v>
      </c>
      <c r="AB159" s="34"/>
      <c r="AC159" s="34"/>
      <c r="AD159" s="34"/>
      <c r="AE159" s="34"/>
      <c r="AG159" s="34"/>
      <c r="AH159" s="34"/>
    </row>
    <row r="160" spans="8:35" x14ac:dyDescent="0.2">
      <c r="K160" s="37">
        <f>ABS($D$22-K158)+$D$39+$D$40</f>
        <v>11</v>
      </c>
      <c r="L160" s="56">
        <f>IF(K160=0,IF(AND($D$13&lt;$M158,$D$7&gt;=$L159),1,0),0)</f>
        <v>0</v>
      </c>
      <c r="M160" s="56"/>
      <c r="N160" s="56">
        <f>IF($K160=0,IF(AND($D$13&gt;=N158,$D$13&lt;O158),IF(AND($D$7&gt;=N159,$D$7&lt;O159),1,0),0),0)</f>
        <v>0</v>
      </c>
      <c r="O160" s="56"/>
      <c r="P160" s="56">
        <f>IF($K160=0,IF(AND($D$13&gt;=P158,$D$13&lt;Q158),IF(AND($D$7&gt;=P159,$D$7&lt;Q159),1,0),0),0)</f>
        <v>0</v>
      </c>
      <c r="Q160" s="56"/>
      <c r="R160" s="56">
        <f>IF($K160=0,IF(AND($D$13&gt;=R158,$D$13&lt;S158),IF(AND($D$7&gt;=R159,$D$7&lt;S159),1,0),0),0)</f>
        <v>0</v>
      </c>
      <c r="S160" s="56"/>
      <c r="T160" s="37">
        <f>IF($K160+P160=0,IF(AND($D$13&gt;=T158,$D$13&lt;U158),IF(AND($D$7&gt;=T159,$D$7&lt;U159),1,0),0),0)</f>
        <v>0</v>
      </c>
      <c r="U160" s="56"/>
      <c r="V160" s="56">
        <f>IF($K160=0,IF(AND($D$13&gt;=V158,$D$13&lt;W158),IF(AND($D$7&gt;=V159,$D$7&lt;W159),1,0),0),0)</f>
        <v>0</v>
      </c>
      <c r="X160" s="56">
        <f>IF($K160=0,IF(AND($D$13&gt;=X158,$D$13&lt;Y158),IF(AND($D$7&gt;=X159,$D$7&lt;Y159),1,0),0),0)</f>
        <v>0</v>
      </c>
      <c r="Z160" s="37">
        <f>IF($K160+V160=0,IF(AND($D$13&gt;=Z158,$D$13&lt;AA158),IF(AND($D$7&gt;=Z159,$D$7&lt;AA159),1,0),0),0)</f>
        <v>0</v>
      </c>
      <c r="AF160" s="37" t="str">
        <f>IF($D$39=1,"",IF(AH160=0,"",AF158))</f>
        <v/>
      </c>
      <c r="AH160" s="34">
        <f>L160+N160+P160+R160+T160+V160+X160+Z160+AB160</f>
        <v>0</v>
      </c>
    </row>
    <row r="161" spans="7:35" x14ac:dyDescent="0.2">
      <c r="K161" s="34">
        <v>27</v>
      </c>
      <c r="L161" s="34"/>
      <c r="M161" s="34">
        <v>1.5</v>
      </c>
      <c r="N161" s="34">
        <v>1.5</v>
      </c>
      <c r="O161" s="34">
        <v>3</v>
      </c>
      <c r="P161" s="34">
        <v>3</v>
      </c>
      <c r="Q161" s="34">
        <v>4.5</v>
      </c>
      <c r="R161" s="34">
        <v>0.3</v>
      </c>
      <c r="S161" s="34">
        <v>1.5</v>
      </c>
      <c r="T161" s="34">
        <v>1.5</v>
      </c>
      <c r="U161" s="34">
        <v>3</v>
      </c>
      <c r="V161" s="34">
        <v>3</v>
      </c>
      <c r="W161" s="34">
        <v>4.5</v>
      </c>
      <c r="X161" s="34">
        <v>0.3</v>
      </c>
      <c r="Y161" s="34">
        <v>1.5</v>
      </c>
      <c r="Z161" s="34">
        <v>1.5</v>
      </c>
      <c r="AA161" s="34">
        <v>4</v>
      </c>
      <c r="AF161" s="37" t="s">
        <v>29</v>
      </c>
      <c r="AH161" s="34"/>
    </row>
    <row r="162" spans="7:35" x14ac:dyDescent="0.2">
      <c r="L162" s="34">
        <v>79</v>
      </c>
      <c r="M162" s="34"/>
      <c r="N162" s="34">
        <v>76</v>
      </c>
      <c r="O162" s="34">
        <v>94</v>
      </c>
      <c r="P162" s="34">
        <v>70</v>
      </c>
      <c r="Q162" s="34">
        <v>94</v>
      </c>
      <c r="R162" s="34">
        <v>62</v>
      </c>
      <c r="S162" s="34">
        <v>79</v>
      </c>
      <c r="T162" s="34">
        <v>57</v>
      </c>
      <c r="U162" s="34">
        <v>76</v>
      </c>
      <c r="V162" s="34">
        <v>52</v>
      </c>
      <c r="W162" s="34">
        <v>70</v>
      </c>
      <c r="X162" s="34">
        <v>46</v>
      </c>
      <c r="Y162" s="34">
        <v>62</v>
      </c>
      <c r="Z162" s="34">
        <v>46</v>
      </c>
      <c r="AA162" s="34">
        <v>57</v>
      </c>
      <c r="AB162" s="34"/>
      <c r="AC162" s="34"/>
      <c r="AD162" s="34"/>
      <c r="AE162" s="34"/>
      <c r="AG162" s="34"/>
      <c r="AH162" s="34"/>
      <c r="AI162" s="34"/>
    </row>
    <row r="163" spans="7:35" x14ac:dyDescent="0.2">
      <c r="K163" s="37">
        <f>ABS($D$22-K161)+$D$39+$D$40</f>
        <v>12</v>
      </c>
      <c r="L163" s="56">
        <f>IF(K163=0,IF(AND($D$13&lt;$M161,$D$7&gt;=$L162),1,0),0)</f>
        <v>0</v>
      </c>
      <c r="M163" s="56"/>
      <c r="N163" s="56">
        <f>IF($K163=0,IF(AND($D$13&gt;=N161,$D$13&lt;O161),IF(AND($D$7&gt;=N162,$D$7&lt;O162),1,0),0),0)</f>
        <v>0</v>
      </c>
      <c r="O163" s="56"/>
      <c r="P163" s="56">
        <f>IF($K163=0,IF(AND($D$13&gt;=P161,$D$13&lt;Q161),IF(AND($D$7&gt;=P162,$D$7&lt;Q162),1,0),0),0)</f>
        <v>0</v>
      </c>
      <c r="Q163" s="56"/>
      <c r="R163" s="56">
        <f>IF($K163=0,IF(AND($D$13&gt;=R161,$D$13&lt;S161),IF(AND($D$7&gt;=R162,$D$7&lt;S162),1,0),0),0)</f>
        <v>0</v>
      </c>
      <c r="S163" s="56"/>
      <c r="T163" s="56">
        <f>IF($K163=0,IF(AND($D$13&gt;=T161,$D$13&lt;U161),IF(AND($D$7&gt;=T162,$D$7&lt;U162),1,0),0),0)</f>
        <v>0</v>
      </c>
      <c r="U163" s="56"/>
      <c r="V163" s="56">
        <f>IF($K163=0,IF(AND($D$13&gt;=V161,$D$13&lt;W161),IF(AND($D$7&gt;=V162,$D$7&lt;W162),1,0),0),0)</f>
        <v>0</v>
      </c>
      <c r="X163" s="56">
        <f>IF($K163=0,IF(AND($D$13&gt;=X161,$D$13&lt;Y161),IF(AND($D$7&gt;=X162,$D$7&lt;Y162),1,0),0),0)</f>
        <v>0</v>
      </c>
      <c r="Z163" s="37">
        <f>IF($K163+V163=0,IF(AND($D$13&gt;=Z161,$D$13&lt;AA161),IF(AND($D$7&gt;=Z162,$D$7&lt;AA162),1,0),0),0)</f>
        <v>0</v>
      </c>
      <c r="AF163" s="37" t="str">
        <f>IF($D$39=1,"",IF(AH163=0,"",AF161))</f>
        <v/>
      </c>
      <c r="AH163" s="34">
        <f>L163+N163+P163+R163+T163+V163+X163+Z163+AB163</f>
        <v>0</v>
      </c>
      <c r="AI163" s="34"/>
    </row>
    <row r="164" spans="7:35" x14ac:dyDescent="0.2">
      <c r="K164" s="34">
        <v>28</v>
      </c>
      <c r="L164" s="34"/>
      <c r="M164" s="34">
        <v>1.5</v>
      </c>
      <c r="N164" s="34">
        <v>1.5</v>
      </c>
      <c r="O164" s="34">
        <v>3</v>
      </c>
      <c r="P164" s="34">
        <v>3</v>
      </c>
      <c r="Q164" s="34">
        <v>4</v>
      </c>
      <c r="R164" s="34">
        <v>0.3</v>
      </c>
      <c r="S164" s="34">
        <v>1.5</v>
      </c>
      <c r="T164" s="34">
        <v>1.5</v>
      </c>
      <c r="U164" s="34">
        <v>3</v>
      </c>
      <c r="V164" s="34">
        <v>3</v>
      </c>
      <c r="W164" s="34">
        <v>4</v>
      </c>
      <c r="X164" s="34">
        <v>0.3</v>
      </c>
      <c r="Y164" s="34">
        <v>1.5</v>
      </c>
      <c r="Z164" s="34">
        <v>1.5</v>
      </c>
      <c r="AA164" s="34">
        <v>4</v>
      </c>
      <c r="AF164" s="37" t="s">
        <v>29</v>
      </c>
      <c r="AH164" s="34"/>
    </row>
    <row r="165" spans="7:35" x14ac:dyDescent="0.2">
      <c r="L165" s="34">
        <v>79</v>
      </c>
      <c r="M165" s="34"/>
      <c r="N165" s="34">
        <v>76</v>
      </c>
      <c r="O165" s="34">
        <v>94</v>
      </c>
      <c r="P165" s="34">
        <v>70</v>
      </c>
      <c r="Q165" s="34">
        <v>94</v>
      </c>
      <c r="R165" s="34">
        <v>62</v>
      </c>
      <c r="S165" s="34">
        <v>79</v>
      </c>
      <c r="T165" s="34">
        <v>57</v>
      </c>
      <c r="U165" s="34">
        <v>76</v>
      </c>
      <c r="V165" s="34">
        <v>52</v>
      </c>
      <c r="W165" s="34">
        <v>70</v>
      </c>
      <c r="X165" s="34">
        <v>46</v>
      </c>
      <c r="Y165" s="34">
        <v>62</v>
      </c>
      <c r="Z165" s="34">
        <v>46</v>
      </c>
      <c r="AA165" s="34">
        <v>57</v>
      </c>
      <c r="AB165" s="34"/>
      <c r="AC165" s="34"/>
      <c r="AD165" s="34"/>
      <c r="AE165" s="34"/>
      <c r="AG165" s="34"/>
      <c r="AH165" s="34"/>
    </row>
    <row r="166" spans="7:35" x14ac:dyDescent="0.2">
      <c r="K166" s="37">
        <f>ABS($D$22-K164)+$D$39+$D$40</f>
        <v>13</v>
      </c>
      <c r="L166" s="56">
        <f>IF(K166=0,IF(AND($D$13&lt;$M164,$D$7&gt;=$L165),1,0),0)</f>
        <v>0</v>
      </c>
      <c r="M166" s="56"/>
      <c r="N166" s="56">
        <f>IF($K166=0,IF(AND($D$13&gt;=N164,$D$13&lt;O164),IF(AND($D$7&gt;=N165,$D$7&lt;O165),1,0),0),0)</f>
        <v>0</v>
      </c>
      <c r="O166" s="56"/>
      <c r="P166" s="56">
        <f>IF($K166=0,IF(AND($D$13&gt;=P164,$D$13&lt;Q164),IF(AND($D$7&gt;=P165,$D$7&lt;Q165),1,0),0),0)</f>
        <v>0</v>
      </c>
      <c r="Q166" s="56"/>
      <c r="R166" s="56">
        <f>IF($K166=0,IF(AND($D$13&gt;=R164,$D$13&lt;S164),IF(AND($D$7&gt;=R165,$D$7&lt;S165),1,0),0),0)</f>
        <v>0</v>
      </c>
      <c r="S166" s="56"/>
      <c r="T166" s="56">
        <f>IF($K166=0,IF(AND($D$13&gt;=T164,$D$13&lt;U164),IF(AND($D$7&gt;=T165,$D$7&lt;U165),1,0),0),0)</f>
        <v>0</v>
      </c>
      <c r="U166" s="56"/>
      <c r="V166" s="56">
        <f>IF($K166=0,IF(AND($D$13&gt;=V164,$D$13&lt;W164),IF(AND($D$7&gt;=V165,$D$7&lt;W165),1,0),0),0)</f>
        <v>0</v>
      </c>
      <c r="X166" s="56">
        <f>IF($K166=0,IF(AND($D$13&gt;=X164,$D$13&lt;Y164),IF(AND($D$7&gt;=X165,$D$7&lt;Y165),1,0),0),0)</f>
        <v>0</v>
      </c>
      <c r="Z166" s="37">
        <f>IF($K166+V166=0,IF(AND($D$13&gt;=Z164,$D$13&lt;AA164),IF(AND($D$7&gt;=Z165,$D$7&lt;AA165),1,0),0),0)</f>
        <v>0</v>
      </c>
      <c r="AF166" s="37" t="str">
        <f>IF($D$39=1,"",IF(AH166=0,"",AF164))</f>
        <v/>
      </c>
      <c r="AH166" s="34">
        <f>L166+N166+P166+R166+T166+V166+X166+Z166+AB166</f>
        <v>0</v>
      </c>
    </row>
    <row r="167" spans="7:35" x14ac:dyDescent="0.2">
      <c r="X167" s="34"/>
    </row>
    <row r="169" spans="7:35" ht="15.75" x14ac:dyDescent="0.25">
      <c r="I169" s="34">
        <f>I174+I181+I188+I195+I202+I209+I216+I223+I230+I237+I244+I251+I258+I265+I272+I279+I286</f>
        <v>0</v>
      </c>
      <c r="K169" s="27"/>
      <c r="R169" s="37" t="str">
        <f>I175&amp;I182&amp;I189&amp;I196&amp;I203&amp;I210&amp;I217&amp;I224&amp;I231&amp;I238&amp;I245&amp;I252&amp;I259&amp;I266&amp;I273&amp;I280&amp;I287</f>
        <v/>
      </c>
    </row>
    <row r="170" spans="7:35" x14ac:dyDescent="0.2">
      <c r="G170" s="52"/>
      <c r="I170" s="45"/>
      <c r="J170" s="45"/>
      <c r="K170" s="34">
        <v>10</v>
      </c>
      <c r="L170" s="34"/>
      <c r="M170" s="34">
        <v>3</v>
      </c>
      <c r="N170" s="34">
        <v>0</v>
      </c>
      <c r="O170" s="34">
        <v>1.5</v>
      </c>
      <c r="P170" s="34">
        <v>3</v>
      </c>
      <c r="Q170" s="34">
        <v>0</v>
      </c>
      <c r="R170" s="34">
        <v>4</v>
      </c>
      <c r="S170" s="34">
        <v>0</v>
      </c>
      <c r="T170" s="34">
        <v>3</v>
      </c>
      <c r="U170" s="34">
        <v>0</v>
      </c>
      <c r="V170" s="34">
        <v>1.7</v>
      </c>
      <c r="W170" s="34">
        <v>3</v>
      </c>
      <c r="X170" s="34">
        <v>0</v>
      </c>
      <c r="Y170" s="34">
        <v>2</v>
      </c>
      <c r="Z170" s="34">
        <v>3</v>
      </c>
      <c r="AA170" s="34">
        <v>2.4</v>
      </c>
    </row>
    <row r="171" spans="7:35" x14ac:dyDescent="0.2">
      <c r="G171" s="52"/>
      <c r="I171" s="45"/>
      <c r="J171" s="45"/>
      <c r="L171" s="34">
        <v>3</v>
      </c>
      <c r="M171" s="34">
        <v>4</v>
      </c>
      <c r="N171" s="34">
        <v>1.5</v>
      </c>
      <c r="O171" s="34">
        <v>3</v>
      </c>
      <c r="P171" s="34">
        <v>4</v>
      </c>
      <c r="Q171" s="34">
        <v>2.4</v>
      </c>
      <c r="R171" s="34">
        <v>5</v>
      </c>
      <c r="S171" s="34">
        <v>3</v>
      </c>
      <c r="T171" s="34">
        <v>4</v>
      </c>
      <c r="U171" s="34">
        <v>1.7</v>
      </c>
      <c r="V171" s="34">
        <v>3</v>
      </c>
      <c r="W171" s="34">
        <v>4</v>
      </c>
      <c r="X171" s="34">
        <v>2</v>
      </c>
      <c r="Y171" s="34">
        <v>3</v>
      </c>
      <c r="Z171" s="34">
        <v>4</v>
      </c>
      <c r="AA171" s="34">
        <v>4</v>
      </c>
    </row>
    <row r="172" spans="7:35" x14ac:dyDescent="0.2">
      <c r="G172" s="52"/>
      <c r="I172" s="45"/>
      <c r="J172" s="45"/>
      <c r="L172" s="34"/>
      <c r="M172" s="34">
        <v>79</v>
      </c>
      <c r="N172" s="34">
        <v>73</v>
      </c>
      <c r="O172" s="34">
        <v>73</v>
      </c>
      <c r="P172" s="34">
        <v>73</v>
      </c>
      <c r="Q172" s="34">
        <v>62</v>
      </c>
      <c r="R172" s="34">
        <v>79</v>
      </c>
      <c r="S172" s="34">
        <v>52</v>
      </c>
      <c r="T172" s="34">
        <v>52</v>
      </c>
      <c r="U172" s="34">
        <v>43</v>
      </c>
      <c r="V172" s="34">
        <v>43</v>
      </c>
      <c r="W172" s="34">
        <v>46</v>
      </c>
      <c r="X172" s="34">
        <v>27</v>
      </c>
      <c r="Y172" s="34">
        <v>27</v>
      </c>
      <c r="Z172" s="34">
        <v>27</v>
      </c>
      <c r="AA172" s="58">
        <v>62</v>
      </c>
    </row>
    <row r="173" spans="7:35" x14ac:dyDescent="0.2">
      <c r="G173" s="52"/>
      <c r="H173" s="45"/>
      <c r="I173" s="45"/>
      <c r="J173" s="45"/>
      <c r="L173" s="34">
        <v>73</v>
      </c>
      <c r="M173" s="34">
        <v>73</v>
      </c>
      <c r="N173" s="34">
        <v>62</v>
      </c>
      <c r="O173" s="34">
        <v>62</v>
      </c>
      <c r="P173" s="34">
        <v>62</v>
      </c>
      <c r="Q173" s="34">
        <v>52</v>
      </c>
      <c r="R173" s="34">
        <v>3</v>
      </c>
      <c r="S173" s="34">
        <v>43</v>
      </c>
      <c r="T173" s="34">
        <v>46</v>
      </c>
      <c r="U173" s="34">
        <v>27</v>
      </c>
      <c r="V173" s="34">
        <v>27</v>
      </c>
      <c r="W173" s="34">
        <v>27</v>
      </c>
      <c r="X173" s="34">
        <v>15</v>
      </c>
      <c r="Y173" s="34">
        <v>3</v>
      </c>
      <c r="Z173" s="34">
        <v>3</v>
      </c>
      <c r="AA173" s="58">
        <v>52</v>
      </c>
    </row>
    <row r="174" spans="7:35" x14ac:dyDescent="0.2">
      <c r="G174" s="52"/>
      <c r="H174" s="45"/>
      <c r="I174" s="34">
        <f>SUM(L174:AA174)</f>
        <v>0</v>
      </c>
      <c r="J174" s="45"/>
      <c r="K174" s="37">
        <f>ABS($D$22-K170)+$D$39+$D$40+$D$41</f>
        <v>7</v>
      </c>
      <c r="L174" s="37">
        <f>IF(K174=0,IF($D$13&lt;L171,IF($D$7&gt;=L173,1,0),0),0)</f>
        <v>0</v>
      </c>
      <c r="M174" s="37">
        <f t="shared" ref="M174:AA174" si="1">IF($K174=0,IF(AND($D$13&gt;=M170,$D$13&lt;M171),IF(AND($D$7&lt;M172,$D$7&gt;=M173),1,0),0),0)</f>
        <v>0</v>
      </c>
      <c r="N174" s="37">
        <f t="shared" si="1"/>
        <v>0</v>
      </c>
      <c r="O174" s="37">
        <f t="shared" si="1"/>
        <v>0</v>
      </c>
      <c r="P174" s="37">
        <f t="shared" si="1"/>
        <v>0</v>
      </c>
      <c r="Q174" s="37">
        <f>IF($K174=0,IF(AND($D$13&gt;=Q170,$D$13&lt;Q171),IF(AND($D$7&lt;Q172,$D$7&gt;=Q173),1,0),0),0)</f>
        <v>0</v>
      </c>
      <c r="R174" s="37">
        <f t="shared" si="1"/>
        <v>0</v>
      </c>
      <c r="S174" s="37">
        <f>IF($K174=0,IF(AND($D$13&gt;=S170,$D$13&lt;S171),IF(AND($D$7&lt;S172,$D$7&gt;=S173),1,0),0),0)</f>
        <v>0</v>
      </c>
      <c r="T174" s="37">
        <f t="shared" si="1"/>
        <v>0</v>
      </c>
      <c r="U174" s="37">
        <f t="shared" si="1"/>
        <v>0</v>
      </c>
      <c r="V174" s="37">
        <f t="shared" si="1"/>
        <v>0</v>
      </c>
      <c r="W174" s="37">
        <f t="shared" si="1"/>
        <v>0</v>
      </c>
      <c r="X174" s="37">
        <f t="shared" si="1"/>
        <v>0</v>
      </c>
      <c r="Y174" s="37">
        <f t="shared" si="1"/>
        <v>0</v>
      </c>
      <c r="Z174" s="37">
        <f t="shared" si="1"/>
        <v>0</v>
      </c>
      <c r="AA174" s="37">
        <f t="shared" si="1"/>
        <v>0</v>
      </c>
    </row>
    <row r="175" spans="7:35" x14ac:dyDescent="0.2">
      <c r="G175" s="52"/>
      <c r="H175" s="45"/>
      <c r="I175" s="45" t="str">
        <f>L175&amp;M175&amp;N175&amp;O175&amp;P175&amp;Q175&amp;R175&amp;S175&amp;T175&amp;U175&amp;V175&amp;W175&amp;X175&amp;Y175&amp;Z175&amp;AA175</f>
        <v/>
      </c>
      <c r="J175" s="45"/>
      <c r="L175" s="37" t="str">
        <f>IF(L174=1,L176,"")</f>
        <v/>
      </c>
      <c r="M175" s="37" t="str">
        <f t="shared" ref="M175:AA175" si="2">IF(M174=1,M176,"")</f>
        <v/>
      </c>
      <c r="N175" s="37" t="str">
        <f t="shared" si="2"/>
        <v/>
      </c>
      <c r="O175" s="37" t="str">
        <f t="shared" si="2"/>
        <v/>
      </c>
      <c r="P175" s="37" t="str">
        <f t="shared" si="2"/>
        <v/>
      </c>
      <c r="Q175" s="37" t="str">
        <f t="shared" si="2"/>
        <v/>
      </c>
      <c r="R175" s="37" t="str">
        <f t="shared" si="2"/>
        <v/>
      </c>
      <c r="S175" s="37" t="str">
        <f t="shared" si="2"/>
        <v/>
      </c>
      <c r="T175" s="37" t="str">
        <f t="shared" si="2"/>
        <v/>
      </c>
      <c r="U175" s="37" t="str">
        <f t="shared" si="2"/>
        <v/>
      </c>
      <c r="V175" s="37" t="str">
        <f t="shared" si="2"/>
        <v/>
      </c>
      <c r="W175" s="37" t="str">
        <f t="shared" si="2"/>
        <v/>
      </c>
      <c r="X175" s="37" t="str">
        <f t="shared" si="2"/>
        <v/>
      </c>
      <c r="Y175" s="37" t="str">
        <f t="shared" si="2"/>
        <v/>
      </c>
      <c r="Z175" s="37" t="str">
        <f t="shared" si="2"/>
        <v/>
      </c>
      <c r="AA175" s="37" t="str">
        <f t="shared" si="2"/>
        <v/>
      </c>
    </row>
    <row r="176" spans="7:35" ht="39.950000000000003" customHeight="1" x14ac:dyDescent="0.2">
      <c r="G176" s="52"/>
      <c r="H176" s="45"/>
      <c r="I176" s="45"/>
      <c r="J176" s="45"/>
      <c r="L176" s="59" t="s">
        <v>30</v>
      </c>
      <c r="M176" s="59" t="s">
        <v>31</v>
      </c>
      <c r="N176" s="59" t="s">
        <v>32</v>
      </c>
      <c r="O176" s="59" t="s">
        <v>33</v>
      </c>
      <c r="P176" s="59" t="s">
        <v>34</v>
      </c>
      <c r="Q176" s="59" t="s">
        <v>35</v>
      </c>
      <c r="R176" s="59" t="s">
        <v>36</v>
      </c>
      <c r="S176" s="59" t="s">
        <v>37</v>
      </c>
      <c r="T176" s="59" t="s">
        <v>38</v>
      </c>
      <c r="U176" s="59" t="s">
        <v>39</v>
      </c>
      <c r="V176" s="59" t="s">
        <v>40</v>
      </c>
      <c r="W176" s="59" t="s">
        <v>41</v>
      </c>
      <c r="X176" s="59" t="s">
        <v>42</v>
      </c>
      <c r="Y176" s="59" t="s">
        <v>43</v>
      </c>
      <c r="Z176" s="59" t="s">
        <v>44</v>
      </c>
      <c r="AA176" s="59" t="s">
        <v>36</v>
      </c>
    </row>
    <row r="177" spans="7:28" x14ac:dyDescent="0.2">
      <c r="G177" s="52"/>
      <c r="H177" s="45"/>
      <c r="I177" s="45"/>
      <c r="J177" s="45"/>
      <c r="K177" s="34">
        <v>11</v>
      </c>
      <c r="L177" s="34"/>
      <c r="M177" s="34">
        <v>3</v>
      </c>
      <c r="N177" s="34">
        <v>0</v>
      </c>
      <c r="O177" s="34">
        <v>1.5</v>
      </c>
      <c r="P177" s="34">
        <v>3</v>
      </c>
      <c r="Q177" s="34">
        <v>0</v>
      </c>
      <c r="R177" s="34">
        <v>1.5</v>
      </c>
      <c r="S177" s="34">
        <v>3</v>
      </c>
      <c r="T177" s="34">
        <v>0</v>
      </c>
      <c r="U177" s="34">
        <v>1.5</v>
      </c>
      <c r="V177" s="34">
        <v>4</v>
      </c>
      <c r="W177" s="34">
        <v>0</v>
      </c>
      <c r="X177" s="34">
        <v>1.9</v>
      </c>
      <c r="Y177" s="34">
        <v>3.5</v>
      </c>
      <c r="Z177" s="34">
        <v>0</v>
      </c>
      <c r="AA177" s="34">
        <v>2.4</v>
      </c>
      <c r="AB177" s="34">
        <v>3.5</v>
      </c>
    </row>
    <row r="178" spans="7:28" x14ac:dyDescent="0.2">
      <c r="G178" s="52"/>
      <c r="H178" s="45"/>
      <c r="I178" s="45"/>
      <c r="J178" s="45"/>
      <c r="L178" s="34">
        <v>3</v>
      </c>
      <c r="M178" s="34">
        <v>4</v>
      </c>
      <c r="N178" s="34">
        <v>1.5</v>
      </c>
      <c r="O178" s="34">
        <v>3</v>
      </c>
      <c r="P178" s="34">
        <v>4</v>
      </c>
      <c r="Q178" s="34">
        <v>1.5</v>
      </c>
      <c r="R178" s="34">
        <v>3</v>
      </c>
      <c r="S178" s="34">
        <v>4</v>
      </c>
      <c r="T178" s="34">
        <v>1.5</v>
      </c>
      <c r="U178" s="34">
        <v>4</v>
      </c>
      <c r="V178" s="34">
        <v>5</v>
      </c>
      <c r="W178" s="34">
        <v>1.9</v>
      </c>
      <c r="X178" s="34">
        <v>3.5</v>
      </c>
      <c r="Y178" s="34">
        <v>5</v>
      </c>
      <c r="Z178" s="34">
        <v>2.4</v>
      </c>
      <c r="AA178" s="34">
        <v>3.5</v>
      </c>
      <c r="AB178" s="34">
        <v>5</v>
      </c>
    </row>
    <row r="179" spans="7:28" x14ac:dyDescent="0.2">
      <c r="G179" s="52"/>
      <c r="H179" s="45"/>
      <c r="I179" s="45"/>
      <c r="J179" s="45"/>
      <c r="L179" s="34"/>
      <c r="M179" s="34">
        <v>79</v>
      </c>
      <c r="N179" s="34">
        <v>73</v>
      </c>
      <c r="O179" s="34">
        <v>73</v>
      </c>
      <c r="P179" s="34">
        <v>73</v>
      </c>
      <c r="Q179" s="34">
        <v>62</v>
      </c>
      <c r="R179" s="34">
        <v>62</v>
      </c>
      <c r="S179" s="34">
        <v>62</v>
      </c>
      <c r="T179" s="34">
        <v>52</v>
      </c>
      <c r="U179" s="34">
        <v>52</v>
      </c>
      <c r="V179" s="34">
        <v>52</v>
      </c>
      <c r="W179" s="34">
        <v>43</v>
      </c>
      <c r="X179" s="34">
        <v>43</v>
      </c>
      <c r="Y179" s="34">
        <v>46</v>
      </c>
      <c r="Z179" s="34">
        <v>27</v>
      </c>
      <c r="AA179" s="58">
        <v>27</v>
      </c>
      <c r="AB179" s="34">
        <v>33</v>
      </c>
    </row>
    <row r="180" spans="7:28" x14ac:dyDescent="0.2">
      <c r="G180" s="52"/>
      <c r="H180" s="45"/>
      <c r="I180" s="45"/>
      <c r="J180" s="45"/>
      <c r="L180" s="34">
        <v>73</v>
      </c>
      <c r="M180" s="34">
        <v>73</v>
      </c>
      <c r="N180" s="34">
        <v>62</v>
      </c>
      <c r="O180" s="34">
        <v>62</v>
      </c>
      <c r="P180" s="34">
        <v>62</v>
      </c>
      <c r="Q180" s="34">
        <v>52</v>
      </c>
      <c r="R180" s="34">
        <v>52</v>
      </c>
      <c r="S180" s="34">
        <v>52</v>
      </c>
      <c r="T180" s="34">
        <v>43</v>
      </c>
      <c r="U180" s="34">
        <v>43</v>
      </c>
      <c r="V180" s="34">
        <v>46</v>
      </c>
      <c r="W180" s="34">
        <v>27</v>
      </c>
      <c r="X180" s="34">
        <v>27</v>
      </c>
      <c r="Y180" s="34">
        <v>33</v>
      </c>
      <c r="Z180" s="34">
        <v>3</v>
      </c>
      <c r="AA180" s="58">
        <v>3</v>
      </c>
      <c r="AB180" s="58">
        <v>3</v>
      </c>
    </row>
    <row r="181" spans="7:28" x14ac:dyDescent="0.2">
      <c r="G181" s="52"/>
      <c r="H181" s="45"/>
      <c r="I181" s="34">
        <f>SUM(L181:AB181)</f>
        <v>0</v>
      </c>
      <c r="J181" s="45"/>
      <c r="K181" s="37">
        <f>ABS($D$22-K177)+$D$39+$D$40+$D$41</f>
        <v>6</v>
      </c>
      <c r="L181" s="37">
        <f>IF(K181=0,IF($D$13&lt;L178,IF($D$7&gt;=L180,1,0),0),0)</f>
        <v>0</v>
      </c>
      <c r="M181" s="37">
        <f>IF($K181=0,IF(AND($D$13&gt;=M177,$D$13&lt;M178),IF(AND($D$7&lt;M179,$D$7&gt;=M180),1,0),0),0)</f>
        <v>0</v>
      </c>
      <c r="N181" s="37">
        <f>IF($K181=0,IF(AND($D$13&gt;=N177,$D$13&lt;N178),IF(AND($D$7&lt;N179,$D$7&gt;=N180),1,0),0),0)</f>
        <v>0</v>
      </c>
      <c r="O181" s="37">
        <f t="shared" ref="O181:X181" si="3">IF($K181=0,IF(AND($D$13&gt;=O177,$D$13&lt;O178),IF(AND($D$7&lt;O179,$D$7&gt;=O180),1,0),0),0)</f>
        <v>0</v>
      </c>
      <c r="P181" s="37">
        <f t="shared" si="3"/>
        <v>0</v>
      </c>
      <c r="Q181" s="37">
        <f t="shared" si="3"/>
        <v>0</v>
      </c>
      <c r="R181" s="37">
        <f t="shared" si="3"/>
        <v>0</v>
      </c>
      <c r="S181" s="37">
        <f t="shared" si="3"/>
        <v>0</v>
      </c>
      <c r="T181" s="37">
        <f t="shared" si="3"/>
        <v>0</v>
      </c>
      <c r="U181" s="37">
        <f t="shared" si="3"/>
        <v>0</v>
      </c>
      <c r="V181" s="37">
        <f t="shared" si="3"/>
        <v>0</v>
      </c>
      <c r="W181" s="37">
        <f t="shared" si="3"/>
        <v>0</v>
      </c>
      <c r="X181" s="37">
        <f t="shared" si="3"/>
        <v>0</v>
      </c>
      <c r="Y181" s="37">
        <f>IF($K181+U181=0,IF(AND($D$13&gt;=Y177,$D$13&lt;Y178),IF(AND($D$7&lt;Y179,$D$7&gt;=Y180),1,0),0),0)</f>
        <v>0</v>
      </c>
      <c r="Z181" s="37">
        <f t="shared" ref="Z181:AB181" si="4">IF($K181=0,IF(AND($D$13&gt;=Z177,$D$13&lt;Z178),IF(AND($D$7&lt;Z179,$D$7&gt;=Z180),1,0),0),0)</f>
        <v>0</v>
      </c>
      <c r="AA181" s="37">
        <f t="shared" si="4"/>
        <v>0</v>
      </c>
      <c r="AB181" s="37">
        <f t="shared" si="4"/>
        <v>0</v>
      </c>
    </row>
    <row r="182" spans="7:28" x14ac:dyDescent="0.2">
      <c r="H182" s="45"/>
      <c r="I182" s="45" t="str">
        <f>L182&amp;M182&amp;N182&amp;O182&amp;P182&amp;Q182&amp;R182&amp;S182&amp;T182&amp;U182&amp;V182&amp;W182&amp;X182&amp;Y182&amp;Z182&amp;AA182&amp;AB182</f>
        <v/>
      </c>
      <c r="J182" s="45"/>
      <c r="L182" s="37" t="str">
        <f t="shared" ref="L182:AB182" si="5">IF(L181=1,L183,"")</f>
        <v/>
      </c>
      <c r="M182" s="37" t="str">
        <f t="shared" si="5"/>
        <v/>
      </c>
      <c r="N182" s="37" t="str">
        <f t="shared" si="5"/>
        <v/>
      </c>
      <c r="O182" s="37" t="str">
        <f t="shared" si="5"/>
        <v/>
      </c>
      <c r="P182" s="37" t="str">
        <f t="shared" si="5"/>
        <v/>
      </c>
      <c r="Q182" s="37" t="str">
        <f t="shared" si="5"/>
        <v/>
      </c>
      <c r="R182" s="37" t="str">
        <f t="shared" si="5"/>
        <v/>
      </c>
      <c r="S182" s="37" t="str">
        <f t="shared" si="5"/>
        <v/>
      </c>
      <c r="T182" s="37" t="str">
        <f t="shared" si="5"/>
        <v/>
      </c>
      <c r="U182" s="37" t="str">
        <f t="shared" si="5"/>
        <v/>
      </c>
      <c r="V182" s="37" t="str">
        <f t="shared" si="5"/>
        <v/>
      </c>
      <c r="W182" s="37" t="str">
        <f t="shared" si="5"/>
        <v/>
      </c>
      <c r="X182" s="37" t="str">
        <f t="shared" si="5"/>
        <v/>
      </c>
      <c r="Y182" s="37" t="str">
        <f t="shared" si="5"/>
        <v/>
      </c>
      <c r="Z182" s="37" t="str">
        <f t="shared" si="5"/>
        <v/>
      </c>
      <c r="AA182" s="37" t="str">
        <f t="shared" si="5"/>
        <v/>
      </c>
      <c r="AB182" s="37" t="str">
        <f t="shared" si="5"/>
        <v/>
      </c>
    </row>
    <row r="183" spans="7:28" ht="39.950000000000003" customHeight="1" x14ac:dyDescent="0.2">
      <c r="G183" s="52"/>
      <c r="H183" s="45"/>
      <c r="I183" s="45"/>
      <c r="J183" s="45"/>
      <c r="L183" s="59" t="s">
        <v>30</v>
      </c>
      <c r="M183" s="59" t="s">
        <v>45</v>
      </c>
      <c r="N183" s="59" t="s">
        <v>32</v>
      </c>
      <c r="O183" s="59" t="s">
        <v>33</v>
      </c>
      <c r="P183" s="59" t="s">
        <v>46</v>
      </c>
      <c r="Q183" s="59" t="s">
        <v>61</v>
      </c>
      <c r="R183" s="59" t="s">
        <v>47</v>
      </c>
      <c r="S183" s="59" t="s">
        <v>48</v>
      </c>
      <c r="T183" s="59" t="s">
        <v>49</v>
      </c>
      <c r="U183" s="59" t="s">
        <v>50</v>
      </c>
      <c r="V183" s="59" t="s">
        <v>64</v>
      </c>
      <c r="W183" s="59" t="s">
        <v>51</v>
      </c>
      <c r="X183" s="59" t="s">
        <v>52</v>
      </c>
      <c r="Y183" s="59" t="s">
        <v>53</v>
      </c>
      <c r="Z183" s="59" t="s">
        <v>54</v>
      </c>
      <c r="AA183" s="59" t="s">
        <v>55</v>
      </c>
      <c r="AB183" s="59" t="s">
        <v>56</v>
      </c>
    </row>
    <row r="184" spans="7:28" x14ac:dyDescent="0.2">
      <c r="G184" s="52"/>
      <c r="H184" s="45"/>
      <c r="I184" s="45"/>
      <c r="J184" s="45"/>
      <c r="K184" s="34">
        <v>12</v>
      </c>
      <c r="L184" s="34"/>
      <c r="M184" s="34">
        <v>3</v>
      </c>
      <c r="N184" s="34">
        <v>0</v>
      </c>
      <c r="O184" s="34">
        <v>1.5</v>
      </c>
      <c r="P184" s="34">
        <v>3</v>
      </c>
      <c r="Q184" s="34">
        <v>0</v>
      </c>
      <c r="R184" s="34">
        <v>1.5</v>
      </c>
      <c r="S184" s="34">
        <v>3</v>
      </c>
      <c r="T184" s="34">
        <v>0</v>
      </c>
      <c r="U184" s="34">
        <v>1.5</v>
      </c>
      <c r="V184" s="34">
        <v>4</v>
      </c>
      <c r="W184" s="34">
        <v>0</v>
      </c>
      <c r="X184" s="34">
        <v>1.9</v>
      </c>
      <c r="Y184" s="34">
        <v>3.5</v>
      </c>
      <c r="Z184" s="34">
        <v>0</v>
      </c>
      <c r="AA184" s="34">
        <v>2.4</v>
      </c>
      <c r="AB184" s="34">
        <v>3.5</v>
      </c>
    </row>
    <row r="185" spans="7:28" x14ac:dyDescent="0.2">
      <c r="G185" s="52"/>
      <c r="H185" s="45"/>
      <c r="I185" s="45"/>
      <c r="J185" s="45"/>
      <c r="L185" s="34">
        <v>3</v>
      </c>
      <c r="M185" s="34">
        <v>4</v>
      </c>
      <c r="N185" s="34">
        <v>1.5</v>
      </c>
      <c r="O185" s="34">
        <v>3</v>
      </c>
      <c r="P185" s="34">
        <v>4</v>
      </c>
      <c r="Q185" s="34">
        <v>1.5</v>
      </c>
      <c r="R185" s="34">
        <v>3</v>
      </c>
      <c r="S185" s="34">
        <v>4</v>
      </c>
      <c r="T185" s="34">
        <v>1.5</v>
      </c>
      <c r="U185" s="34">
        <v>4</v>
      </c>
      <c r="V185" s="34">
        <v>5</v>
      </c>
      <c r="W185" s="34">
        <v>1.9</v>
      </c>
      <c r="X185" s="34">
        <v>3.5</v>
      </c>
      <c r="Y185" s="34">
        <v>5</v>
      </c>
      <c r="Z185" s="34">
        <v>2.4</v>
      </c>
      <c r="AA185" s="34">
        <v>3.5</v>
      </c>
      <c r="AB185" s="34">
        <v>5</v>
      </c>
    </row>
    <row r="186" spans="7:28" x14ac:dyDescent="0.2">
      <c r="G186" s="52"/>
      <c r="H186" s="45"/>
      <c r="I186" s="45"/>
      <c r="J186" s="45"/>
      <c r="L186" s="34"/>
      <c r="M186" s="34">
        <v>79</v>
      </c>
      <c r="N186" s="34">
        <v>73</v>
      </c>
      <c r="O186" s="34">
        <v>73</v>
      </c>
      <c r="P186" s="34">
        <v>73</v>
      </c>
      <c r="Q186" s="34">
        <v>62</v>
      </c>
      <c r="R186" s="34">
        <v>62</v>
      </c>
      <c r="S186" s="34">
        <v>62</v>
      </c>
      <c r="T186" s="34">
        <v>52</v>
      </c>
      <c r="U186" s="34">
        <v>52</v>
      </c>
      <c r="V186" s="34">
        <v>52</v>
      </c>
      <c r="W186" s="34">
        <v>43</v>
      </c>
      <c r="X186" s="34">
        <v>43</v>
      </c>
      <c r="Y186" s="34">
        <v>46</v>
      </c>
      <c r="Z186" s="34">
        <v>27</v>
      </c>
      <c r="AA186" s="58">
        <v>27</v>
      </c>
      <c r="AB186" s="34">
        <v>33</v>
      </c>
    </row>
    <row r="187" spans="7:28" x14ac:dyDescent="0.2">
      <c r="G187" s="52"/>
      <c r="H187" s="45"/>
      <c r="I187" s="45"/>
      <c r="J187" s="45"/>
      <c r="L187" s="34">
        <v>73</v>
      </c>
      <c r="M187" s="34">
        <v>73</v>
      </c>
      <c r="N187" s="34">
        <v>62</v>
      </c>
      <c r="O187" s="34">
        <v>62</v>
      </c>
      <c r="P187" s="34">
        <v>62</v>
      </c>
      <c r="Q187" s="34">
        <v>52</v>
      </c>
      <c r="R187" s="34">
        <v>52</v>
      </c>
      <c r="S187" s="34">
        <v>52</v>
      </c>
      <c r="T187" s="34">
        <v>43</v>
      </c>
      <c r="U187" s="34">
        <v>43</v>
      </c>
      <c r="V187" s="34">
        <v>46</v>
      </c>
      <c r="W187" s="34">
        <v>27</v>
      </c>
      <c r="X187" s="34">
        <v>27</v>
      </c>
      <c r="Y187" s="34">
        <v>33</v>
      </c>
      <c r="Z187" s="34">
        <v>3</v>
      </c>
      <c r="AA187" s="58">
        <v>3</v>
      </c>
      <c r="AB187" s="34">
        <v>3</v>
      </c>
    </row>
    <row r="188" spans="7:28" x14ac:dyDescent="0.2">
      <c r="G188" s="52"/>
      <c r="H188" s="45"/>
      <c r="I188" s="34">
        <f>SUM(L188:AB188)</f>
        <v>0</v>
      </c>
      <c r="J188" s="45"/>
      <c r="K188" s="37">
        <f>ABS($D$22-K184)+$D$39+$D$40+$D$41</f>
        <v>5</v>
      </c>
      <c r="L188" s="37">
        <f>IF(K188=0,IF($D$13&lt;L185,IF($D$7&gt;=L187,1,0),0),0)</f>
        <v>0</v>
      </c>
      <c r="M188" s="37">
        <f t="shared" ref="M188:X188" si="6">IF($K188=0,IF(AND($D$13&gt;=M184,$D$13&lt;M185),IF(AND($D$7&lt;M186,$D$7&gt;=M187),1,0),0),0)</f>
        <v>0</v>
      </c>
      <c r="N188" s="37">
        <f t="shared" si="6"/>
        <v>0</v>
      </c>
      <c r="O188" s="37">
        <f t="shared" si="6"/>
        <v>0</v>
      </c>
      <c r="P188" s="37">
        <f t="shared" si="6"/>
        <v>0</v>
      </c>
      <c r="Q188" s="37">
        <f t="shared" si="6"/>
        <v>0</v>
      </c>
      <c r="R188" s="37">
        <f t="shared" si="6"/>
        <v>0</v>
      </c>
      <c r="S188" s="37">
        <f t="shared" si="6"/>
        <v>0</v>
      </c>
      <c r="T188" s="37">
        <f t="shared" si="6"/>
        <v>0</v>
      </c>
      <c r="U188" s="37">
        <f t="shared" si="6"/>
        <v>0</v>
      </c>
      <c r="V188" s="37">
        <f t="shared" si="6"/>
        <v>0</v>
      </c>
      <c r="W188" s="37">
        <f t="shared" si="6"/>
        <v>0</v>
      </c>
      <c r="X188" s="37">
        <f t="shared" si="6"/>
        <v>0</v>
      </c>
      <c r="Y188" s="37">
        <f>IF($K188+U188=0,IF(AND($D$13&gt;=Y184,$D$13&lt;Y185),IF(AND($D$7&lt;Y186,$D$7&gt;=Y187),1,0),0),0)</f>
        <v>0</v>
      </c>
      <c r="Z188" s="37">
        <f t="shared" ref="Z188:AB188" si="7">IF($K188=0,IF(AND($D$13&gt;=Z184,$D$13&lt;Z185),IF(AND($D$7&lt;Z186,$D$7&gt;=Z187),1,0),0),0)</f>
        <v>0</v>
      </c>
      <c r="AA188" s="37">
        <f t="shared" si="7"/>
        <v>0</v>
      </c>
      <c r="AB188" s="37">
        <f t="shared" si="7"/>
        <v>0</v>
      </c>
    </row>
    <row r="189" spans="7:28" x14ac:dyDescent="0.2">
      <c r="G189" s="52"/>
      <c r="H189" s="45"/>
      <c r="I189" s="45" t="str">
        <f>L189&amp;M189&amp;N189&amp;O189&amp;P189&amp;Q189&amp;R189&amp;S189&amp;T189&amp;U189&amp;V189&amp;W189&amp;X189&amp;Y189&amp;Z189&amp;AA189&amp;AB189</f>
        <v/>
      </c>
      <c r="J189" s="45"/>
      <c r="L189" s="37" t="str">
        <f t="shared" ref="L189:AB189" si="8">IF(L188=1,L190,"")</f>
        <v/>
      </c>
      <c r="M189" s="37" t="str">
        <f t="shared" si="8"/>
        <v/>
      </c>
      <c r="N189" s="37" t="str">
        <f t="shared" si="8"/>
        <v/>
      </c>
      <c r="O189" s="37" t="str">
        <f t="shared" si="8"/>
        <v/>
      </c>
      <c r="P189" s="37" t="str">
        <f t="shared" si="8"/>
        <v/>
      </c>
      <c r="Q189" s="37" t="str">
        <f t="shared" si="8"/>
        <v/>
      </c>
      <c r="R189" s="37" t="str">
        <f t="shared" si="8"/>
        <v/>
      </c>
      <c r="S189" s="37" t="str">
        <f t="shared" si="8"/>
        <v/>
      </c>
      <c r="T189" s="37" t="str">
        <f t="shared" si="8"/>
        <v/>
      </c>
      <c r="U189" s="37" t="str">
        <f t="shared" si="8"/>
        <v/>
      </c>
      <c r="V189" s="37" t="str">
        <f t="shared" si="8"/>
        <v/>
      </c>
      <c r="W189" s="37" t="str">
        <f t="shared" si="8"/>
        <v/>
      </c>
      <c r="X189" s="37" t="str">
        <f t="shared" si="8"/>
        <v/>
      </c>
      <c r="Y189" s="37" t="str">
        <f t="shared" si="8"/>
        <v/>
      </c>
      <c r="Z189" s="37" t="str">
        <f t="shared" si="8"/>
        <v/>
      </c>
      <c r="AA189" s="37" t="str">
        <f t="shared" si="8"/>
        <v/>
      </c>
      <c r="AB189" s="37" t="str">
        <f t="shared" si="8"/>
        <v/>
      </c>
    </row>
    <row r="190" spans="7:28" ht="39.950000000000003" customHeight="1" x14ac:dyDescent="0.2">
      <c r="G190" s="52"/>
      <c r="H190" s="45"/>
      <c r="I190" s="45"/>
      <c r="J190" s="45"/>
      <c r="L190" s="59" t="s">
        <v>30</v>
      </c>
      <c r="M190" s="59" t="s">
        <v>45</v>
      </c>
      <c r="N190" s="59" t="s">
        <v>32</v>
      </c>
      <c r="O190" s="59" t="s">
        <v>33</v>
      </c>
      <c r="P190" s="59" t="s">
        <v>46</v>
      </c>
      <c r="Q190" s="59" t="s">
        <v>61</v>
      </c>
      <c r="R190" s="59" t="s">
        <v>47</v>
      </c>
      <c r="S190" s="59" t="s">
        <v>48</v>
      </c>
      <c r="T190" s="59" t="s">
        <v>49</v>
      </c>
      <c r="U190" s="59" t="s">
        <v>50</v>
      </c>
      <c r="V190" s="59" t="s">
        <v>64</v>
      </c>
      <c r="W190" s="59" t="s">
        <v>51</v>
      </c>
      <c r="X190" s="59" t="s">
        <v>52</v>
      </c>
      <c r="Y190" s="59" t="s">
        <v>53</v>
      </c>
      <c r="Z190" s="59" t="s">
        <v>54</v>
      </c>
      <c r="AA190" s="59" t="s">
        <v>55</v>
      </c>
      <c r="AB190" s="59" t="s">
        <v>56</v>
      </c>
    </row>
    <row r="191" spans="7:28" x14ac:dyDescent="0.2">
      <c r="G191" s="52"/>
      <c r="H191" s="45"/>
      <c r="I191" s="45"/>
      <c r="J191" s="45"/>
      <c r="K191" s="34">
        <v>13</v>
      </c>
      <c r="L191" s="34"/>
      <c r="M191" s="34">
        <v>3</v>
      </c>
      <c r="N191" s="34">
        <v>0</v>
      </c>
      <c r="O191" s="34">
        <v>1.5</v>
      </c>
      <c r="P191" s="34">
        <v>3</v>
      </c>
      <c r="Q191" s="34">
        <v>0</v>
      </c>
      <c r="R191" s="34">
        <v>1.5</v>
      </c>
      <c r="S191" s="34">
        <v>3</v>
      </c>
      <c r="T191" s="34">
        <v>0</v>
      </c>
      <c r="U191" s="34">
        <v>1.5</v>
      </c>
      <c r="V191" s="34">
        <v>4</v>
      </c>
      <c r="W191" s="34">
        <v>0</v>
      </c>
      <c r="X191" s="34">
        <v>1.9</v>
      </c>
      <c r="Y191" s="34">
        <v>3.5</v>
      </c>
      <c r="Z191" s="34">
        <v>0</v>
      </c>
      <c r="AA191" s="34">
        <v>2.4</v>
      </c>
      <c r="AB191" s="34">
        <v>3.5</v>
      </c>
    </row>
    <row r="192" spans="7:28" x14ac:dyDescent="0.2">
      <c r="G192" s="52"/>
      <c r="H192" s="45"/>
      <c r="I192" s="45"/>
      <c r="J192" s="45"/>
      <c r="L192" s="34">
        <v>3</v>
      </c>
      <c r="M192" s="34">
        <v>4</v>
      </c>
      <c r="N192" s="34">
        <v>1.5</v>
      </c>
      <c r="O192" s="34">
        <v>3</v>
      </c>
      <c r="P192" s="34">
        <v>4</v>
      </c>
      <c r="Q192" s="34">
        <v>1.5</v>
      </c>
      <c r="R192" s="34">
        <v>3</v>
      </c>
      <c r="S192" s="34">
        <v>4</v>
      </c>
      <c r="T192" s="34">
        <v>1.5</v>
      </c>
      <c r="U192" s="34">
        <v>4</v>
      </c>
      <c r="V192" s="34">
        <v>5</v>
      </c>
      <c r="W192" s="34">
        <v>1.9</v>
      </c>
      <c r="X192" s="34">
        <v>3.5</v>
      </c>
      <c r="Y192" s="34">
        <v>5</v>
      </c>
      <c r="Z192" s="34">
        <v>2.4</v>
      </c>
      <c r="AA192" s="34">
        <v>3.5</v>
      </c>
      <c r="AB192" s="34">
        <v>5</v>
      </c>
    </row>
    <row r="193" spans="7:29" x14ac:dyDescent="0.2">
      <c r="G193" s="52"/>
      <c r="H193" s="45"/>
      <c r="I193" s="45"/>
      <c r="J193" s="45"/>
      <c r="L193" s="34"/>
      <c r="M193" s="34">
        <v>79</v>
      </c>
      <c r="N193" s="34">
        <v>73</v>
      </c>
      <c r="O193" s="34">
        <v>73</v>
      </c>
      <c r="P193" s="34">
        <v>73</v>
      </c>
      <c r="Q193" s="34">
        <v>62</v>
      </c>
      <c r="R193" s="34">
        <v>62</v>
      </c>
      <c r="S193" s="34">
        <v>62</v>
      </c>
      <c r="T193" s="34">
        <v>52</v>
      </c>
      <c r="U193" s="34">
        <v>52</v>
      </c>
      <c r="V193" s="34">
        <v>52</v>
      </c>
      <c r="W193" s="34">
        <v>43</v>
      </c>
      <c r="X193" s="34">
        <v>43</v>
      </c>
      <c r="Y193" s="34">
        <v>46</v>
      </c>
      <c r="Z193" s="34">
        <v>27</v>
      </c>
      <c r="AA193" s="58">
        <v>27</v>
      </c>
      <c r="AB193" s="34">
        <v>33</v>
      </c>
    </row>
    <row r="194" spans="7:29" x14ac:dyDescent="0.2">
      <c r="G194" s="52"/>
      <c r="H194" s="45"/>
      <c r="I194" s="45"/>
      <c r="J194" s="45"/>
      <c r="L194" s="34">
        <v>73</v>
      </c>
      <c r="M194" s="34">
        <v>73</v>
      </c>
      <c r="N194" s="34">
        <v>62</v>
      </c>
      <c r="O194" s="34">
        <v>62</v>
      </c>
      <c r="P194" s="34">
        <v>62</v>
      </c>
      <c r="Q194" s="34">
        <v>52</v>
      </c>
      <c r="R194" s="34">
        <v>52</v>
      </c>
      <c r="S194" s="34">
        <v>52</v>
      </c>
      <c r="T194" s="34">
        <v>43</v>
      </c>
      <c r="U194" s="34">
        <v>43</v>
      </c>
      <c r="V194" s="34">
        <v>46</v>
      </c>
      <c r="W194" s="34">
        <v>27</v>
      </c>
      <c r="X194" s="34">
        <v>27</v>
      </c>
      <c r="Y194" s="34">
        <v>33</v>
      </c>
      <c r="Z194" s="34">
        <v>3</v>
      </c>
      <c r="AA194" s="58">
        <v>3</v>
      </c>
      <c r="AB194" s="34">
        <v>3</v>
      </c>
    </row>
    <row r="195" spans="7:29" x14ac:dyDescent="0.2">
      <c r="G195" s="52"/>
      <c r="H195" s="45"/>
      <c r="I195" s="34">
        <f>SUM(L195:AB195)</f>
        <v>0</v>
      </c>
      <c r="J195" s="45"/>
      <c r="K195" s="37">
        <f>ABS($D$22-K191)+$D$39+$D$40+$D$41</f>
        <v>4</v>
      </c>
      <c r="L195" s="37">
        <f>IF(K195=0,IF($D$13&lt;L192,IF($D$7&gt;=L194,1,0),0),0)</f>
        <v>0</v>
      </c>
      <c r="M195" s="37">
        <f t="shared" ref="M195:X195" si="9">IF($K195=0,IF(AND($D$13&gt;=M191,$D$13&lt;M192),IF(AND($D$7&lt;M193,$D$7&gt;=M194),1,0),0),0)</f>
        <v>0</v>
      </c>
      <c r="N195" s="37">
        <f t="shared" si="9"/>
        <v>0</v>
      </c>
      <c r="O195" s="37">
        <f t="shared" si="9"/>
        <v>0</v>
      </c>
      <c r="P195" s="37">
        <f t="shared" si="9"/>
        <v>0</v>
      </c>
      <c r="Q195" s="37">
        <f>IF($K195=0,IF(AND($D$13&gt;=Q191,$D$13&lt;Q192),IF(AND($D$7&lt;Q193,$D$7&gt;=Q194),1,0),0),0)</f>
        <v>0</v>
      </c>
      <c r="R195" s="37">
        <f t="shared" si="9"/>
        <v>0</v>
      </c>
      <c r="S195" s="37">
        <f t="shared" si="9"/>
        <v>0</v>
      </c>
      <c r="T195" s="37">
        <f t="shared" si="9"/>
        <v>0</v>
      </c>
      <c r="U195" s="37">
        <f t="shared" si="9"/>
        <v>0</v>
      </c>
      <c r="V195" s="37">
        <f t="shared" si="9"/>
        <v>0</v>
      </c>
      <c r="W195" s="37">
        <f t="shared" si="9"/>
        <v>0</v>
      </c>
      <c r="X195" s="37">
        <f t="shared" si="9"/>
        <v>0</v>
      </c>
      <c r="Y195" s="37">
        <f>IF($K195+U195=0,IF(AND($D$13&gt;=Y191,$D$13&lt;Y192),IF(AND($D$7&lt;Y193,$D$7&gt;=Y194),1,0),0),0)</f>
        <v>0</v>
      </c>
      <c r="Z195" s="37">
        <f t="shared" ref="Z195:AB195" si="10">IF($K195=0,IF(AND($D$13&gt;=Z191,$D$13&lt;Z192),IF(AND($D$7&lt;Z193,$D$7&gt;=Z194),1,0),0),0)</f>
        <v>0</v>
      </c>
      <c r="AA195" s="37">
        <f t="shared" si="10"/>
        <v>0</v>
      </c>
      <c r="AB195" s="37">
        <f t="shared" si="10"/>
        <v>0</v>
      </c>
    </row>
    <row r="196" spans="7:29" x14ac:dyDescent="0.2">
      <c r="G196" s="52"/>
      <c r="H196" s="45"/>
      <c r="I196" s="45" t="str">
        <f>L196&amp;M196&amp;N196&amp;O196&amp;P196&amp;Q196&amp;R196&amp;S196&amp;T196&amp;U196&amp;V196&amp;W196&amp;X196&amp;Y196&amp;Z196&amp;AA196&amp;AB196</f>
        <v/>
      </c>
      <c r="J196" s="45"/>
      <c r="L196" s="37" t="str">
        <f t="shared" ref="L196" si="11">IF(L195=1,L197,"")</f>
        <v/>
      </c>
      <c r="M196" s="37" t="str">
        <f t="shared" ref="M196" si="12">IF(M195=1,M197,"")</f>
        <v/>
      </c>
      <c r="N196" s="37" t="str">
        <f t="shared" ref="N196" si="13">IF(N195=1,N197,"")</f>
        <v/>
      </c>
      <c r="O196" s="37" t="str">
        <f t="shared" ref="O196" si="14">IF(O195=1,O197,"")</f>
        <v/>
      </c>
      <c r="P196" s="37" t="str">
        <f t="shared" ref="P196" si="15">IF(P195=1,P197,"")</f>
        <v/>
      </c>
      <c r="Q196" s="37" t="str">
        <f t="shared" ref="Q196" si="16">IF(Q195=1,Q197,"")</f>
        <v/>
      </c>
      <c r="R196" s="37" t="str">
        <f t="shared" ref="R196" si="17">IF(R195=1,R197,"")</f>
        <v/>
      </c>
      <c r="S196" s="37" t="str">
        <f t="shared" ref="S196" si="18">IF(S195=1,S197,"")</f>
        <v/>
      </c>
      <c r="T196" s="37" t="str">
        <f t="shared" ref="T196" si="19">IF(T195=1,T197,"")</f>
        <v/>
      </c>
      <c r="U196" s="37" t="str">
        <f t="shared" ref="U196" si="20">IF(U195=1,U197,"")</f>
        <v/>
      </c>
      <c r="V196" s="37" t="str">
        <f t="shared" ref="V196" si="21">IF(V195=1,V197,"")</f>
        <v/>
      </c>
      <c r="W196" s="37" t="str">
        <f t="shared" ref="W196" si="22">IF(W195=1,W197,"")</f>
        <v/>
      </c>
      <c r="X196" s="37" t="str">
        <f t="shared" ref="X196" si="23">IF(X195=1,X197,"")</f>
        <v/>
      </c>
      <c r="Y196" s="37" t="str">
        <f t="shared" ref="Y196" si="24">IF(Y195=1,Y197,"")</f>
        <v/>
      </c>
      <c r="Z196" s="37" t="str">
        <f t="shared" ref="Z196" si="25">IF(Z195=1,Z197,"")</f>
        <v/>
      </c>
      <c r="AA196" s="37" t="str">
        <f t="shared" ref="AA196" si="26">IF(AA195=1,AA197,"")</f>
        <v/>
      </c>
      <c r="AB196" s="37" t="str">
        <f t="shared" ref="AB196" si="27">IF(AB195=1,AB197,"")</f>
        <v/>
      </c>
    </row>
    <row r="197" spans="7:29" ht="39.950000000000003" customHeight="1" x14ac:dyDescent="0.2">
      <c r="G197" s="52"/>
      <c r="H197" s="45"/>
      <c r="I197" s="45"/>
      <c r="J197" s="45"/>
      <c r="L197" s="59" t="s">
        <v>57</v>
      </c>
      <c r="M197" s="59" t="s">
        <v>45</v>
      </c>
      <c r="N197" s="59" t="s">
        <v>58</v>
      </c>
      <c r="O197" s="59" t="s">
        <v>59</v>
      </c>
      <c r="P197" s="59" t="s">
        <v>60</v>
      </c>
      <c r="Q197" s="59" t="s">
        <v>62</v>
      </c>
      <c r="R197" s="59" t="s">
        <v>71</v>
      </c>
      <c r="S197" s="59" t="s">
        <v>48</v>
      </c>
      <c r="T197" s="59" t="s">
        <v>49</v>
      </c>
      <c r="U197" s="59" t="s">
        <v>63</v>
      </c>
      <c r="V197" s="59" t="s">
        <v>64</v>
      </c>
      <c r="W197" s="59" t="s">
        <v>65</v>
      </c>
      <c r="X197" s="59" t="s">
        <v>66</v>
      </c>
      <c r="Y197" s="59" t="s">
        <v>68</v>
      </c>
      <c r="Z197" s="59" t="s">
        <v>67</v>
      </c>
      <c r="AA197" s="59" t="s">
        <v>69</v>
      </c>
      <c r="AB197" s="59" t="s">
        <v>70</v>
      </c>
    </row>
    <row r="198" spans="7:29" x14ac:dyDescent="0.2">
      <c r="G198" s="52"/>
      <c r="H198" s="45"/>
      <c r="I198" s="45"/>
      <c r="J198" s="45"/>
      <c r="K198" s="34">
        <v>14</v>
      </c>
      <c r="L198" s="34"/>
      <c r="M198" s="34">
        <v>3</v>
      </c>
      <c r="N198" s="34">
        <v>0</v>
      </c>
      <c r="O198" s="34">
        <v>1.5</v>
      </c>
      <c r="P198" s="34">
        <v>3</v>
      </c>
      <c r="Q198" s="34">
        <v>0</v>
      </c>
      <c r="R198" s="34">
        <v>1.5</v>
      </c>
      <c r="S198" s="34">
        <v>3</v>
      </c>
      <c r="T198" s="34">
        <v>0</v>
      </c>
      <c r="U198" s="34">
        <v>1.5</v>
      </c>
      <c r="V198" s="34">
        <v>4</v>
      </c>
      <c r="W198" s="34">
        <v>0</v>
      </c>
      <c r="X198" s="34">
        <v>1.9</v>
      </c>
      <c r="Y198" s="34">
        <v>3.5</v>
      </c>
      <c r="Z198" s="34">
        <v>0</v>
      </c>
      <c r="AA198" s="34">
        <v>2.4</v>
      </c>
      <c r="AB198" s="34">
        <v>3.5</v>
      </c>
    </row>
    <row r="199" spans="7:29" x14ac:dyDescent="0.2">
      <c r="G199" s="52"/>
      <c r="H199" s="45"/>
      <c r="I199" s="45"/>
      <c r="J199" s="45"/>
      <c r="L199" s="34">
        <v>3</v>
      </c>
      <c r="M199" s="34">
        <v>4</v>
      </c>
      <c r="N199" s="34">
        <v>1.5</v>
      </c>
      <c r="O199" s="34">
        <v>3</v>
      </c>
      <c r="P199" s="34">
        <v>4</v>
      </c>
      <c r="Q199" s="34">
        <v>1.5</v>
      </c>
      <c r="R199" s="34">
        <v>3</v>
      </c>
      <c r="S199" s="34">
        <v>4</v>
      </c>
      <c r="T199" s="34">
        <v>1.5</v>
      </c>
      <c r="U199" s="34">
        <v>4</v>
      </c>
      <c r="V199" s="34">
        <v>5</v>
      </c>
      <c r="W199" s="34">
        <v>1.9</v>
      </c>
      <c r="X199" s="34">
        <v>3.5</v>
      </c>
      <c r="Y199" s="34">
        <v>5</v>
      </c>
      <c r="Z199" s="34">
        <v>2.4</v>
      </c>
      <c r="AA199" s="34">
        <v>3.5</v>
      </c>
      <c r="AB199" s="34">
        <v>5</v>
      </c>
    </row>
    <row r="200" spans="7:29" x14ac:dyDescent="0.2">
      <c r="G200" s="52"/>
      <c r="H200" s="45"/>
      <c r="I200" s="45"/>
      <c r="J200" s="45"/>
      <c r="L200" s="34"/>
      <c r="M200" s="34">
        <v>79</v>
      </c>
      <c r="N200" s="34">
        <v>73</v>
      </c>
      <c r="O200" s="34">
        <v>73</v>
      </c>
      <c r="P200" s="34">
        <v>73</v>
      </c>
      <c r="Q200" s="34">
        <v>62</v>
      </c>
      <c r="R200" s="34">
        <v>62</v>
      </c>
      <c r="S200" s="34">
        <v>62</v>
      </c>
      <c r="T200" s="34">
        <v>52</v>
      </c>
      <c r="U200" s="34">
        <v>52</v>
      </c>
      <c r="V200" s="34">
        <v>52</v>
      </c>
      <c r="W200" s="34">
        <v>43</v>
      </c>
      <c r="X200" s="34">
        <v>43</v>
      </c>
      <c r="Y200" s="34">
        <v>46</v>
      </c>
      <c r="Z200" s="34">
        <v>27</v>
      </c>
      <c r="AA200" s="58">
        <v>27</v>
      </c>
      <c r="AB200" s="34">
        <v>33</v>
      </c>
    </row>
    <row r="201" spans="7:29" x14ac:dyDescent="0.2">
      <c r="G201" s="52"/>
      <c r="H201" s="45"/>
      <c r="I201" s="45"/>
      <c r="J201" s="45"/>
      <c r="L201" s="34">
        <v>73</v>
      </c>
      <c r="M201" s="34">
        <v>73</v>
      </c>
      <c r="N201" s="34">
        <v>62</v>
      </c>
      <c r="O201" s="34">
        <v>62</v>
      </c>
      <c r="P201" s="34">
        <v>62</v>
      </c>
      <c r="Q201" s="34">
        <v>52</v>
      </c>
      <c r="R201" s="34">
        <v>52</v>
      </c>
      <c r="S201" s="34">
        <v>52</v>
      </c>
      <c r="T201" s="34">
        <v>43</v>
      </c>
      <c r="U201" s="34">
        <v>43</v>
      </c>
      <c r="V201" s="34">
        <v>46</v>
      </c>
      <c r="W201" s="34">
        <v>27</v>
      </c>
      <c r="X201" s="34">
        <v>27</v>
      </c>
      <c r="Y201" s="34">
        <v>32</v>
      </c>
      <c r="Z201" s="34">
        <v>3</v>
      </c>
      <c r="AA201" s="58">
        <v>3</v>
      </c>
      <c r="AB201" s="34">
        <v>3</v>
      </c>
    </row>
    <row r="202" spans="7:29" x14ac:dyDescent="0.2">
      <c r="G202" s="52"/>
      <c r="H202" s="45"/>
      <c r="I202" s="34">
        <f>SUM(L202:AB202)</f>
        <v>0</v>
      </c>
      <c r="J202" s="45"/>
      <c r="K202" s="37">
        <f>ABS($D$22-K198)+$D$39+$D$40+$D$41</f>
        <v>3</v>
      </c>
      <c r="L202" s="37">
        <f>IF(K202=0,IF($D$13&lt;L199,IF($D$7&gt;=L201,1,0),0),0)</f>
        <v>0</v>
      </c>
      <c r="M202" s="37">
        <f t="shared" ref="M202:X202" si="28">IF($K202=0,IF(AND($D$13&gt;=M198,$D$13&lt;M199),IF(AND($D$7&lt;M200,$D$7&gt;=M201),1,0),0),0)</f>
        <v>0</v>
      </c>
      <c r="N202" s="37">
        <f t="shared" si="28"/>
        <v>0</v>
      </c>
      <c r="O202" s="37">
        <f t="shared" si="28"/>
        <v>0</v>
      </c>
      <c r="P202" s="37">
        <f t="shared" si="28"/>
        <v>0</v>
      </c>
      <c r="Q202" s="37">
        <f t="shared" si="28"/>
        <v>0</v>
      </c>
      <c r="R202" s="37">
        <f t="shared" si="28"/>
        <v>0</v>
      </c>
      <c r="S202" s="37">
        <f t="shared" si="28"/>
        <v>0</v>
      </c>
      <c r="T202" s="37">
        <f t="shared" si="28"/>
        <v>0</v>
      </c>
      <c r="U202" s="37">
        <f t="shared" si="28"/>
        <v>0</v>
      </c>
      <c r="V202" s="37">
        <f t="shared" si="28"/>
        <v>0</v>
      </c>
      <c r="W202" s="37">
        <f t="shared" si="28"/>
        <v>0</v>
      </c>
      <c r="X202" s="37">
        <f t="shared" si="28"/>
        <v>0</v>
      </c>
      <c r="Y202" s="37">
        <f>IF($K202+U202=0,IF(AND($D$13&gt;=Y198,$D$13&lt;Y199),IF(AND($D$7&lt;Y200,$D$7&gt;=Y201),1,0),0),0)</f>
        <v>0</v>
      </c>
      <c r="Z202" s="37">
        <f t="shared" ref="Z202:AB202" si="29">IF($K202=0,IF(AND($D$13&gt;=Z198,$D$13&lt;Z199),IF(AND($D$7&lt;Z200,$D$7&gt;=Z201),1,0),0),0)</f>
        <v>0</v>
      </c>
      <c r="AA202" s="37">
        <f t="shared" si="29"/>
        <v>0</v>
      </c>
      <c r="AB202" s="37">
        <f t="shared" si="29"/>
        <v>0</v>
      </c>
    </row>
    <row r="203" spans="7:29" x14ac:dyDescent="0.2">
      <c r="G203" s="52"/>
      <c r="H203" s="45"/>
      <c r="I203" s="45" t="str">
        <f>L203&amp;M203&amp;N203&amp;O203&amp;P203&amp;Q203&amp;R203&amp;S203&amp;T203&amp;U203&amp;V203&amp;W203&amp;X203&amp;Y203&amp;Z203&amp;AA203&amp;AB203</f>
        <v/>
      </c>
      <c r="J203" s="45"/>
      <c r="L203" s="37" t="str">
        <f t="shared" ref="L203" si="30">IF(L202=1,L204,"")</f>
        <v/>
      </c>
      <c r="M203" s="37" t="str">
        <f t="shared" ref="M203" si="31">IF(M202=1,M204,"")</f>
        <v/>
      </c>
      <c r="N203" s="37" t="str">
        <f t="shared" ref="N203" si="32">IF(N202=1,N204,"")</f>
        <v/>
      </c>
      <c r="O203" s="37" t="str">
        <f t="shared" ref="O203" si="33">IF(O202=1,O204,"")</f>
        <v/>
      </c>
      <c r="P203" s="37" t="str">
        <f t="shared" ref="P203" si="34">IF(P202=1,P204,"")</f>
        <v/>
      </c>
      <c r="Q203" s="37" t="str">
        <f t="shared" ref="Q203" si="35">IF(Q202=1,Q204,"")</f>
        <v/>
      </c>
      <c r="R203" s="37" t="str">
        <f t="shared" ref="R203" si="36">IF(R202=1,R204,"")</f>
        <v/>
      </c>
      <c r="S203" s="37" t="str">
        <f t="shared" ref="S203" si="37">IF(S202=1,S204,"")</f>
        <v/>
      </c>
      <c r="T203" s="37" t="str">
        <f t="shared" ref="T203" si="38">IF(T202=1,T204,"")</f>
        <v/>
      </c>
      <c r="U203" s="37" t="str">
        <f t="shared" ref="U203" si="39">IF(U202=1,U204,"")</f>
        <v/>
      </c>
      <c r="V203" s="37" t="str">
        <f t="shared" ref="V203" si="40">IF(V202=1,V204,"")</f>
        <v/>
      </c>
      <c r="W203" s="37" t="str">
        <f t="shared" ref="W203" si="41">IF(W202=1,W204,"")</f>
        <v/>
      </c>
      <c r="X203" s="37" t="str">
        <f t="shared" ref="X203" si="42">IF(X202=1,X204,"")</f>
        <v/>
      </c>
      <c r="Y203" s="37" t="str">
        <f t="shared" ref="Y203" si="43">IF(Y202=1,Y204,"")</f>
        <v/>
      </c>
      <c r="Z203" s="37" t="str">
        <f t="shared" ref="Z203" si="44">IF(Z202=1,Z204,"")</f>
        <v/>
      </c>
      <c r="AA203" s="37" t="str">
        <f t="shared" ref="AA203" si="45">IF(AA202=1,AA204,"")</f>
        <v/>
      </c>
      <c r="AB203" s="37" t="str">
        <f t="shared" ref="AB203" si="46">IF(AB202=1,AB204,"")</f>
        <v/>
      </c>
    </row>
    <row r="204" spans="7:29" ht="39.950000000000003" customHeight="1" x14ac:dyDescent="0.2">
      <c r="G204" s="52"/>
      <c r="H204" s="45"/>
      <c r="I204" s="45"/>
      <c r="J204" s="45"/>
      <c r="L204" s="59" t="s">
        <v>57</v>
      </c>
      <c r="M204" s="59" t="s">
        <v>45</v>
      </c>
      <c r="N204" s="59" t="s">
        <v>58</v>
      </c>
      <c r="O204" s="59" t="s">
        <v>59</v>
      </c>
      <c r="P204" s="59" t="s">
        <v>60</v>
      </c>
      <c r="Q204" s="59" t="s">
        <v>62</v>
      </c>
      <c r="R204" s="59" t="s">
        <v>71</v>
      </c>
      <c r="S204" s="59" t="s">
        <v>48</v>
      </c>
      <c r="T204" s="59" t="s">
        <v>72</v>
      </c>
      <c r="U204" s="59" t="s">
        <v>73</v>
      </c>
      <c r="V204" s="59" t="s">
        <v>74</v>
      </c>
      <c r="W204" s="59" t="s">
        <v>75</v>
      </c>
      <c r="X204" s="59" t="s">
        <v>76</v>
      </c>
      <c r="Y204" s="59" t="s">
        <v>77</v>
      </c>
      <c r="Z204" s="59" t="s">
        <v>78</v>
      </c>
      <c r="AA204" s="59" t="s">
        <v>79</v>
      </c>
      <c r="AB204" s="59" t="s">
        <v>80</v>
      </c>
    </row>
    <row r="205" spans="7:29" x14ac:dyDescent="0.2">
      <c r="G205" s="52"/>
      <c r="H205" s="45"/>
      <c r="I205" s="45"/>
      <c r="J205" s="45"/>
      <c r="K205" s="34">
        <v>15</v>
      </c>
      <c r="L205" s="34"/>
      <c r="M205" s="34">
        <v>1.5</v>
      </c>
      <c r="N205" s="34">
        <v>3</v>
      </c>
      <c r="O205" s="34">
        <v>0</v>
      </c>
      <c r="P205" s="34">
        <v>1.5</v>
      </c>
      <c r="Q205" s="34">
        <v>3</v>
      </c>
      <c r="R205" s="34">
        <v>0</v>
      </c>
      <c r="S205" s="34">
        <v>1.5</v>
      </c>
      <c r="T205" s="34">
        <v>3</v>
      </c>
      <c r="U205" s="34">
        <v>0</v>
      </c>
      <c r="V205" s="34">
        <v>1.5</v>
      </c>
      <c r="W205" s="34">
        <v>4</v>
      </c>
      <c r="X205" s="34">
        <v>0</v>
      </c>
      <c r="Y205" s="34">
        <v>1.9</v>
      </c>
      <c r="Z205" s="34">
        <v>3.5</v>
      </c>
      <c r="AA205" s="34">
        <v>0</v>
      </c>
      <c r="AB205" s="34">
        <v>2.4</v>
      </c>
      <c r="AC205" s="34">
        <v>3.5</v>
      </c>
    </row>
    <row r="206" spans="7:29" x14ac:dyDescent="0.2">
      <c r="G206" s="52"/>
      <c r="H206" s="45"/>
      <c r="I206" s="45"/>
      <c r="J206" s="45"/>
      <c r="L206" s="34">
        <v>1.5</v>
      </c>
      <c r="M206" s="34">
        <v>3</v>
      </c>
      <c r="N206" s="34">
        <v>4</v>
      </c>
      <c r="O206" s="34">
        <v>1.5</v>
      </c>
      <c r="P206" s="34">
        <v>3</v>
      </c>
      <c r="Q206" s="34">
        <v>4</v>
      </c>
      <c r="R206" s="34">
        <v>1.5</v>
      </c>
      <c r="S206" s="34">
        <v>3</v>
      </c>
      <c r="T206" s="34">
        <v>4</v>
      </c>
      <c r="U206" s="34">
        <v>1.5</v>
      </c>
      <c r="V206" s="34">
        <v>4</v>
      </c>
      <c r="W206" s="34">
        <v>5</v>
      </c>
      <c r="X206" s="34">
        <v>1.9</v>
      </c>
      <c r="Y206" s="34">
        <v>3.5</v>
      </c>
      <c r="Z206" s="34">
        <v>5</v>
      </c>
      <c r="AA206" s="34">
        <v>2.4</v>
      </c>
      <c r="AB206" s="34">
        <v>3.5</v>
      </c>
      <c r="AC206" s="34">
        <v>5</v>
      </c>
    </row>
    <row r="207" spans="7:29" x14ac:dyDescent="0.2">
      <c r="G207" s="52"/>
      <c r="H207" s="45"/>
      <c r="I207" s="45"/>
      <c r="J207" s="45"/>
      <c r="L207" s="34"/>
      <c r="M207" s="34">
        <v>79</v>
      </c>
      <c r="N207" s="34">
        <v>79</v>
      </c>
      <c r="O207" s="34">
        <v>73</v>
      </c>
      <c r="P207" s="34">
        <v>73</v>
      </c>
      <c r="Q207" s="34">
        <v>73</v>
      </c>
      <c r="R207" s="34">
        <v>62</v>
      </c>
      <c r="S207" s="34">
        <v>62</v>
      </c>
      <c r="T207" s="34">
        <v>62</v>
      </c>
      <c r="U207" s="34">
        <v>52</v>
      </c>
      <c r="V207" s="34">
        <v>52</v>
      </c>
      <c r="W207" s="34">
        <v>52</v>
      </c>
      <c r="X207" s="34">
        <v>43</v>
      </c>
      <c r="Y207" s="34">
        <v>43</v>
      </c>
      <c r="Z207" s="34">
        <v>46</v>
      </c>
      <c r="AA207" s="58">
        <v>27</v>
      </c>
      <c r="AB207" s="34">
        <v>27</v>
      </c>
      <c r="AC207" s="34">
        <v>32</v>
      </c>
    </row>
    <row r="208" spans="7:29" x14ac:dyDescent="0.2">
      <c r="G208" s="52"/>
      <c r="H208" s="45"/>
      <c r="I208" s="45"/>
      <c r="J208" s="45"/>
      <c r="L208" s="34">
        <v>73</v>
      </c>
      <c r="M208" s="34">
        <v>73</v>
      </c>
      <c r="N208" s="34">
        <v>73</v>
      </c>
      <c r="O208" s="34">
        <v>62</v>
      </c>
      <c r="P208" s="34">
        <v>62</v>
      </c>
      <c r="Q208" s="34">
        <v>62</v>
      </c>
      <c r="R208" s="34">
        <v>52</v>
      </c>
      <c r="S208" s="34">
        <v>52</v>
      </c>
      <c r="T208" s="34">
        <v>52</v>
      </c>
      <c r="U208" s="34">
        <v>43</v>
      </c>
      <c r="V208" s="34">
        <v>43</v>
      </c>
      <c r="W208" s="34">
        <v>46</v>
      </c>
      <c r="X208" s="34">
        <v>27</v>
      </c>
      <c r="Y208" s="34">
        <v>27</v>
      </c>
      <c r="Z208" s="34">
        <v>32</v>
      </c>
      <c r="AA208" s="58">
        <v>3</v>
      </c>
      <c r="AB208" s="34">
        <v>3</v>
      </c>
      <c r="AC208" s="34">
        <v>3</v>
      </c>
    </row>
    <row r="209" spans="7:30" x14ac:dyDescent="0.2">
      <c r="G209" s="52"/>
      <c r="H209" s="45"/>
      <c r="I209" s="34">
        <f>SUM(L209:AC209)</f>
        <v>0</v>
      </c>
      <c r="J209" s="45"/>
      <c r="K209" s="37">
        <f>ABS($D$22-K205)+$D$39+$D$40+$D$41</f>
        <v>2</v>
      </c>
      <c r="L209" s="37">
        <f>IF(K209=0,IF($D$13&lt;L206,IF($D$7&gt;=L208,1,0),0),0)</f>
        <v>0</v>
      </c>
      <c r="M209" s="37">
        <f t="shared" ref="M209:Y209" si="47">IF($K209=0,IF(AND($D$13&gt;=M205,$D$13&lt;M206),IF(AND($D$7&lt;M207,$D$7&gt;=M208),1,0),0),0)</f>
        <v>0</v>
      </c>
      <c r="N209" s="37">
        <f t="shared" si="47"/>
        <v>0</v>
      </c>
      <c r="O209" s="37">
        <f t="shared" si="47"/>
        <v>0</v>
      </c>
      <c r="P209" s="37">
        <f t="shared" si="47"/>
        <v>0</v>
      </c>
      <c r="Q209" s="37">
        <f t="shared" si="47"/>
        <v>0</v>
      </c>
      <c r="R209" s="37">
        <f t="shared" si="47"/>
        <v>0</v>
      </c>
      <c r="S209" s="37">
        <f t="shared" si="47"/>
        <v>0</v>
      </c>
      <c r="T209" s="37">
        <f t="shared" si="47"/>
        <v>0</v>
      </c>
      <c r="U209" s="37">
        <f t="shared" si="47"/>
        <v>0</v>
      </c>
      <c r="V209" s="37">
        <f t="shared" si="47"/>
        <v>0</v>
      </c>
      <c r="W209" s="37">
        <f t="shared" si="47"/>
        <v>0</v>
      </c>
      <c r="X209" s="37">
        <f t="shared" si="47"/>
        <v>0</v>
      </c>
      <c r="Y209" s="37">
        <f t="shared" si="47"/>
        <v>0</v>
      </c>
      <c r="Z209" s="37">
        <f>IF($K209+V209=0,IF(AND($D$13&gt;=Z205,$D$13&lt;Z206),IF(AND($D$7&lt;Z207,$D$7&gt;=Z208),1,0),0),0)</f>
        <v>0</v>
      </c>
      <c r="AA209" s="37">
        <f t="shared" ref="AA209:AB209" si="48">IF($K209=0,IF(AND($D$13&gt;=AA205,$D$13&lt;AA206),IF(AND($D$7&lt;AA207,$D$7&gt;=AA208),1,0),0),0)</f>
        <v>0</v>
      </c>
      <c r="AB209" s="37">
        <f t="shared" si="48"/>
        <v>0</v>
      </c>
      <c r="AC209" s="37">
        <f>IF($K209=0,IF(AND($D$13&gt;=AC205,$D$13&lt;AC206),IF(AND($D$7&lt;AC207,$D$7&gt;=AC208),1,0),0),0)</f>
        <v>0</v>
      </c>
    </row>
    <row r="210" spans="7:30" x14ac:dyDescent="0.2">
      <c r="G210" s="52"/>
      <c r="H210" s="45"/>
      <c r="I210" s="45" t="str">
        <f>L210&amp;M210&amp;N210&amp;O210&amp;P210&amp;Q210&amp;R210&amp;S210&amp;T210&amp;U210&amp;V210&amp;W210&amp;X210&amp;Y210&amp;Z210&amp;AA210&amp;AB210&amp;AC210</f>
        <v/>
      </c>
      <c r="J210" s="45"/>
      <c r="L210" s="37" t="str">
        <f t="shared" ref="L210" si="49">IF(L209=1,L211,"")</f>
        <v/>
      </c>
      <c r="M210" s="37" t="str">
        <f t="shared" ref="M210" si="50">IF(M209=1,M211,"")</f>
        <v/>
      </c>
      <c r="N210" s="37" t="str">
        <f t="shared" ref="N210" si="51">IF(N209=1,N211,"")</f>
        <v/>
      </c>
      <c r="O210" s="37" t="str">
        <f t="shared" ref="O210" si="52">IF(O209=1,O211,"")</f>
        <v/>
      </c>
      <c r="P210" s="37" t="str">
        <f t="shared" ref="P210" si="53">IF(P209=1,P211,"")</f>
        <v/>
      </c>
      <c r="Q210" s="37" t="str">
        <f t="shared" ref="Q210" si="54">IF(Q209=1,Q211,"")</f>
        <v/>
      </c>
      <c r="R210" s="37" t="str">
        <f t="shared" ref="R210" si="55">IF(R209=1,R211,"")</f>
        <v/>
      </c>
      <c r="S210" s="37" t="str">
        <f t="shared" ref="S210" si="56">IF(S209=1,S211,"")</f>
        <v/>
      </c>
      <c r="T210" s="37" t="str">
        <f t="shared" ref="T210" si="57">IF(T209=1,T211,"")</f>
        <v/>
      </c>
      <c r="U210" s="37" t="str">
        <f t="shared" ref="U210" si="58">IF(U209=1,U211,"")</f>
        <v/>
      </c>
      <c r="V210" s="37" t="str">
        <f t="shared" ref="V210" si="59">IF(V209=1,V211,"")</f>
        <v/>
      </c>
      <c r="W210" s="37" t="str">
        <f t="shared" ref="W210" si="60">IF(W209=1,W211,"")</f>
        <v/>
      </c>
      <c r="X210" s="37" t="str">
        <f t="shared" ref="X210" si="61">IF(X209=1,X211,"")</f>
        <v/>
      </c>
      <c r="Y210" s="37" t="str">
        <f t="shared" ref="Y210" si="62">IF(Y209=1,Y211,"")</f>
        <v/>
      </c>
      <c r="Z210" s="37" t="str">
        <f t="shared" ref="Z210" si="63">IF(Z209=1,Z211,"")</f>
        <v/>
      </c>
      <c r="AA210" s="37" t="str">
        <f t="shared" ref="AA210" si="64">IF(AA209=1,AA211,"")</f>
        <v/>
      </c>
      <c r="AB210" s="37" t="str">
        <f t="shared" ref="AB210:AC210" si="65">IF(AB209=1,AB211,"")</f>
        <v/>
      </c>
      <c r="AC210" s="37" t="str">
        <f t="shared" si="65"/>
        <v/>
      </c>
    </row>
    <row r="211" spans="7:30" ht="39.950000000000003" customHeight="1" x14ac:dyDescent="0.2">
      <c r="G211" s="52"/>
      <c r="H211" s="45"/>
      <c r="I211" s="45"/>
      <c r="J211" s="45"/>
      <c r="L211" s="59" t="s">
        <v>228</v>
      </c>
      <c r="M211" s="59" t="s">
        <v>57</v>
      </c>
      <c r="N211" s="59" t="s">
        <v>45</v>
      </c>
      <c r="O211" s="59" t="s">
        <v>58</v>
      </c>
      <c r="P211" s="59" t="s">
        <v>59</v>
      </c>
      <c r="Q211" s="59" t="s">
        <v>60</v>
      </c>
      <c r="R211" s="59" t="s">
        <v>62</v>
      </c>
      <c r="S211" s="59" t="s">
        <v>71</v>
      </c>
      <c r="T211" s="59" t="s">
        <v>48</v>
      </c>
      <c r="U211" s="59" t="s">
        <v>72</v>
      </c>
      <c r="V211" s="59" t="s">
        <v>81</v>
      </c>
      <c r="W211" s="59" t="s">
        <v>74</v>
      </c>
      <c r="X211" s="59" t="s">
        <v>82</v>
      </c>
      <c r="Y211" s="59" t="s">
        <v>83</v>
      </c>
      <c r="Z211" s="59" t="s">
        <v>84</v>
      </c>
      <c r="AA211" s="59" t="s">
        <v>85</v>
      </c>
      <c r="AB211" s="59" t="s">
        <v>86</v>
      </c>
      <c r="AC211" s="59" t="s">
        <v>87</v>
      </c>
    </row>
    <row r="212" spans="7:30" x14ac:dyDescent="0.2">
      <c r="G212" s="52"/>
      <c r="H212" s="45"/>
      <c r="I212" s="45"/>
      <c r="J212" s="45"/>
      <c r="K212" s="34">
        <v>16</v>
      </c>
      <c r="L212" s="34"/>
      <c r="M212" s="34">
        <v>1.5</v>
      </c>
      <c r="N212" s="34">
        <v>3</v>
      </c>
      <c r="O212" s="34">
        <v>0</v>
      </c>
      <c r="P212" s="34">
        <v>1.5</v>
      </c>
      <c r="Q212" s="34">
        <v>3</v>
      </c>
      <c r="R212" s="34">
        <v>0</v>
      </c>
      <c r="S212" s="34">
        <v>1.5</v>
      </c>
      <c r="T212" s="34">
        <v>3</v>
      </c>
      <c r="U212" s="34">
        <v>0</v>
      </c>
      <c r="V212" s="34">
        <v>1.5</v>
      </c>
      <c r="W212" s="34">
        <v>4</v>
      </c>
      <c r="X212" s="34">
        <v>0</v>
      </c>
      <c r="Y212" s="34">
        <v>1.9</v>
      </c>
      <c r="Z212" s="34">
        <v>3.5</v>
      </c>
      <c r="AA212" s="34">
        <v>0</v>
      </c>
      <c r="AB212" s="34">
        <v>2.4</v>
      </c>
      <c r="AC212" s="34">
        <v>3.7</v>
      </c>
      <c r="AD212" s="34">
        <v>4</v>
      </c>
    </row>
    <row r="213" spans="7:30" x14ac:dyDescent="0.2">
      <c r="G213" s="52"/>
      <c r="H213" s="45"/>
      <c r="I213" s="45"/>
      <c r="J213" s="45"/>
      <c r="L213" s="34">
        <v>1.5</v>
      </c>
      <c r="M213" s="34">
        <v>3</v>
      </c>
      <c r="N213" s="34">
        <v>4</v>
      </c>
      <c r="O213" s="34">
        <v>1.5</v>
      </c>
      <c r="P213" s="34">
        <v>3</v>
      </c>
      <c r="Q213" s="34">
        <v>4</v>
      </c>
      <c r="R213" s="34">
        <v>1.5</v>
      </c>
      <c r="S213" s="34">
        <v>3</v>
      </c>
      <c r="T213" s="34">
        <v>4</v>
      </c>
      <c r="U213" s="34">
        <v>1.5</v>
      </c>
      <c r="V213" s="34">
        <v>4</v>
      </c>
      <c r="W213" s="34">
        <v>5</v>
      </c>
      <c r="X213" s="34">
        <v>1.9</v>
      </c>
      <c r="Y213" s="34">
        <v>3.7</v>
      </c>
      <c r="Z213" s="34">
        <v>5</v>
      </c>
      <c r="AA213" s="34">
        <v>2.4</v>
      </c>
      <c r="AB213" s="34">
        <v>3.7</v>
      </c>
      <c r="AC213" s="34">
        <v>5</v>
      </c>
      <c r="AD213" s="34">
        <v>5</v>
      </c>
    </row>
    <row r="214" spans="7:30" x14ac:dyDescent="0.2">
      <c r="G214" s="52"/>
      <c r="H214" s="45"/>
      <c r="I214" s="45"/>
      <c r="J214" s="45"/>
      <c r="L214" s="34"/>
      <c r="M214" s="34">
        <v>79</v>
      </c>
      <c r="N214" s="34">
        <v>79</v>
      </c>
      <c r="O214" s="34">
        <v>73</v>
      </c>
      <c r="P214" s="34">
        <v>73</v>
      </c>
      <c r="Q214" s="34">
        <v>73</v>
      </c>
      <c r="R214" s="34">
        <v>62</v>
      </c>
      <c r="S214" s="34">
        <v>62</v>
      </c>
      <c r="T214" s="34">
        <v>62</v>
      </c>
      <c r="U214" s="34">
        <v>52</v>
      </c>
      <c r="V214" s="34">
        <v>52</v>
      </c>
      <c r="W214" s="34">
        <v>52</v>
      </c>
      <c r="X214" s="34">
        <v>43</v>
      </c>
      <c r="Y214" s="34">
        <v>43</v>
      </c>
      <c r="Z214" s="34">
        <v>47</v>
      </c>
      <c r="AA214" s="58">
        <v>27</v>
      </c>
      <c r="AB214" s="34">
        <v>27</v>
      </c>
      <c r="AC214" s="34">
        <v>30</v>
      </c>
      <c r="AD214" s="34"/>
    </row>
    <row r="215" spans="7:30" x14ac:dyDescent="0.2">
      <c r="G215" s="52"/>
      <c r="H215" s="45"/>
      <c r="I215" s="45"/>
      <c r="J215" s="45"/>
      <c r="L215" s="34">
        <v>73</v>
      </c>
      <c r="M215" s="34">
        <v>73</v>
      </c>
      <c r="N215" s="34">
        <v>73</v>
      </c>
      <c r="O215" s="34">
        <v>62</v>
      </c>
      <c r="P215" s="34">
        <v>62</v>
      </c>
      <c r="Q215" s="34">
        <v>62</v>
      </c>
      <c r="R215" s="34">
        <v>52</v>
      </c>
      <c r="S215" s="34">
        <v>52</v>
      </c>
      <c r="T215" s="34">
        <v>52</v>
      </c>
      <c r="U215" s="34">
        <v>43</v>
      </c>
      <c r="V215" s="34">
        <v>43</v>
      </c>
      <c r="W215" s="34">
        <v>46</v>
      </c>
      <c r="X215" s="34">
        <v>27</v>
      </c>
      <c r="Y215" s="34">
        <v>27</v>
      </c>
      <c r="Z215" s="34">
        <v>30</v>
      </c>
      <c r="AA215" s="58">
        <v>3</v>
      </c>
      <c r="AB215" s="34">
        <v>3</v>
      </c>
      <c r="AC215" s="34">
        <v>3</v>
      </c>
      <c r="AD215" s="60">
        <v>79</v>
      </c>
    </row>
    <row r="216" spans="7:30" x14ac:dyDescent="0.2">
      <c r="G216" s="52"/>
      <c r="H216" s="45"/>
      <c r="I216" s="34">
        <f>SUM(L216:AD216)</f>
        <v>0</v>
      </c>
      <c r="J216" s="45"/>
      <c r="K216" s="37">
        <f>ABS($D$22-K212)+$D$39+$D$40+$D$41</f>
        <v>1</v>
      </c>
      <c r="L216" s="37">
        <f>IF(K216=0,IF($D$13&lt;L213,IF($D$7&gt;=L215,1,0),0),0)</f>
        <v>0</v>
      </c>
      <c r="M216" s="37">
        <f t="shared" ref="M216:X216" si="66">IF($K216=0,IF(AND($D$13&gt;=M212,$D$13&lt;M213),IF(AND($D$7&lt;M214,$D$7&gt;=M215),1,0),0),0)</f>
        <v>0</v>
      </c>
      <c r="N216" s="37">
        <f t="shared" si="66"/>
        <v>0</v>
      </c>
      <c r="O216" s="37">
        <f t="shared" si="66"/>
        <v>0</v>
      </c>
      <c r="P216" s="37">
        <f t="shared" si="66"/>
        <v>0</v>
      </c>
      <c r="Q216" s="37">
        <f t="shared" si="66"/>
        <v>0</v>
      </c>
      <c r="R216" s="37">
        <f t="shared" si="66"/>
        <v>0</v>
      </c>
      <c r="S216" s="37">
        <f t="shared" si="66"/>
        <v>0</v>
      </c>
      <c r="T216" s="37">
        <f t="shared" si="66"/>
        <v>0</v>
      </c>
      <c r="U216" s="37">
        <f t="shared" si="66"/>
        <v>0</v>
      </c>
      <c r="V216" s="37">
        <f t="shared" si="66"/>
        <v>0</v>
      </c>
      <c r="W216" s="37">
        <f t="shared" si="66"/>
        <v>0</v>
      </c>
      <c r="X216" s="37">
        <f t="shared" si="66"/>
        <v>0</v>
      </c>
      <c r="Y216" s="37">
        <f>IF($K216+Z216=0,IF(AND($D$13&gt;=Y212,$D$13&lt;Y213),IF(AND($D$7&lt;Y214,$D$7&gt;=Y215),1,0),0),0)</f>
        <v>0</v>
      </c>
      <c r="Z216" s="37">
        <f>IF($K216+V216=0,IF(AND($D$13&gt;=Z212,$D$13&lt;Z213),IF(AND($D$7&lt;Z214,$D$7&gt;=Z215),1,0),0),0)</f>
        <v>0</v>
      </c>
      <c r="AA216" s="37">
        <f t="shared" ref="AA216:AC216" si="67">IF($K216=0,IF(AND($D$13&gt;=AA212,$D$13&lt;AA213),IF(AND($D$7&lt;AA214,$D$7&gt;=AA215),1,0),0),0)</f>
        <v>0</v>
      </c>
      <c r="AB216" s="37">
        <f t="shared" si="67"/>
        <v>0</v>
      </c>
      <c r="AC216" s="37">
        <f t="shared" si="67"/>
        <v>0</v>
      </c>
      <c r="AD216" s="37">
        <f>IF($K216=0,IF(AND($D$13&gt;=AD212,$D$13&lt;AD213),IF($D$7&gt;=AD215,1,0),0),0)</f>
        <v>0</v>
      </c>
    </row>
    <row r="217" spans="7:30" x14ac:dyDescent="0.2">
      <c r="G217" s="52"/>
      <c r="H217" s="45"/>
      <c r="I217" s="45" t="str">
        <f>L217&amp;M217&amp;N217&amp;O217&amp;P217&amp;Q217&amp;R217&amp;S217&amp;T217&amp;U217&amp;V217&amp;W217&amp;X217&amp;Y217&amp;Z217&amp;AA217&amp;AB217&amp;AC217&amp;AD217</f>
        <v/>
      </c>
      <c r="J217" s="45"/>
      <c r="L217" s="37" t="str">
        <f t="shared" ref="L217" si="68">IF(L216=1,L218,"")</f>
        <v/>
      </c>
      <c r="M217" s="37" t="str">
        <f t="shared" ref="M217" si="69">IF(M216=1,M218,"")</f>
        <v/>
      </c>
      <c r="N217" s="37" t="str">
        <f t="shared" ref="N217" si="70">IF(N216=1,N218,"")</f>
        <v/>
      </c>
      <c r="O217" s="37" t="str">
        <f t="shared" ref="O217" si="71">IF(O216=1,O218,"")</f>
        <v/>
      </c>
      <c r="P217" s="37" t="str">
        <f t="shared" ref="P217" si="72">IF(P216=1,P218,"")</f>
        <v/>
      </c>
      <c r="Q217" s="37" t="str">
        <f t="shared" ref="Q217" si="73">IF(Q216=1,Q218,"")</f>
        <v/>
      </c>
      <c r="R217" s="37" t="str">
        <f t="shared" ref="R217" si="74">IF(R216=1,R218,"")</f>
        <v/>
      </c>
      <c r="S217" s="37" t="str">
        <f t="shared" ref="S217" si="75">IF(S216=1,S218,"")</f>
        <v/>
      </c>
      <c r="T217" s="37" t="str">
        <f t="shared" ref="T217" si="76">IF(T216=1,T218,"")</f>
        <v/>
      </c>
      <c r="U217" s="37" t="str">
        <f t="shared" ref="U217" si="77">IF(U216=1,U218,"")</f>
        <v/>
      </c>
      <c r="V217" s="37" t="str">
        <f t="shared" ref="V217" si="78">IF(V216=1,V218,"")</f>
        <v/>
      </c>
      <c r="W217" s="37" t="str">
        <f t="shared" ref="W217" si="79">IF(W216=1,W218,"")</f>
        <v/>
      </c>
      <c r="X217" s="37" t="str">
        <f t="shared" ref="X217" si="80">IF(X216=1,X218,"")</f>
        <v/>
      </c>
      <c r="Y217" s="37" t="str">
        <f t="shared" ref="Y217" si="81">IF(Y216=1,Y218,"")</f>
        <v/>
      </c>
      <c r="Z217" s="37" t="str">
        <f t="shared" ref="Z217" si="82">IF(Z216=1,Z218,"")</f>
        <v/>
      </c>
      <c r="AA217" s="37" t="str">
        <f t="shared" ref="AA217" si="83">IF(AA216=1,AA218,"")</f>
        <v/>
      </c>
      <c r="AB217" s="37" t="str">
        <f t="shared" ref="AB217" si="84">IF(AB216=1,AB218,"")</f>
        <v/>
      </c>
      <c r="AC217" s="37" t="str">
        <f t="shared" ref="AC217:AD217" si="85">IF(AC216=1,AC218,"")</f>
        <v/>
      </c>
      <c r="AD217" s="37" t="str">
        <f t="shared" si="85"/>
        <v/>
      </c>
    </row>
    <row r="218" spans="7:30" ht="39.950000000000003" customHeight="1" x14ac:dyDescent="0.2">
      <c r="G218" s="52"/>
      <c r="H218" s="45"/>
      <c r="I218" s="45"/>
      <c r="J218" s="45"/>
      <c r="L218" s="59" t="s">
        <v>228</v>
      </c>
      <c r="M218" s="59" t="s">
        <v>88</v>
      </c>
      <c r="N218" s="59" t="s">
        <v>89</v>
      </c>
      <c r="O218" s="59" t="s">
        <v>90</v>
      </c>
      <c r="P218" s="59" t="s">
        <v>91</v>
      </c>
      <c r="Q218" s="59" t="s">
        <v>92</v>
      </c>
      <c r="R218" s="59" t="s">
        <v>93</v>
      </c>
      <c r="S218" s="59" t="s">
        <v>94</v>
      </c>
      <c r="T218" s="59" t="s">
        <v>95</v>
      </c>
      <c r="U218" s="59" t="s">
        <v>72</v>
      </c>
      <c r="V218" s="59" t="s">
        <v>96</v>
      </c>
      <c r="W218" s="59" t="s">
        <v>74</v>
      </c>
      <c r="X218" s="59" t="s">
        <v>97</v>
      </c>
      <c r="Y218" s="59" t="s">
        <v>98</v>
      </c>
      <c r="Z218" s="59" t="s">
        <v>99</v>
      </c>
      <c r="AA218" s="59" t="s">
        <v>100</v>
      </c>
      <c r="AB218" s="59" t="s">
        <v>101</v>
      </c>
      <c r="AC218" s="59" t="s">
        <v>102</v>
      </c>
      <c r="AD218" s="59" t="s">
        <v>182</v>
      </c>
    </row>
    <row r="219" spans="7:30" x14ac:dyDescent="0.2">
      <c r="G219" s="52"/>
      <c r="H219" s="45"/>
      <c r="I219" s="45"/>
      <c r="J219" s="45"/>
      <c r="K219" s="34">
        <v>17</v>
      </c>
      <c r="L219" s="34"/>
      <c r="M219" s="34">
        <v>1.5</v>
      </c>
      <c r="N219" s="34">
        <v>3</v>
      </c>
      <c r="O219" s="34">
        <v>0</v>
      </c>
      <c r="P219" s="34">
        <v>1.5</v>
      </c>
      <c r="Q219" s="34">
        <v>3</v>
      </c>
      <c r="R219" s="34">
        <v>0</v>
      </c>
      <c r="S219" s="34">
        <v>1.5</v>
      </c>
      <c r="T219" s="34">
        <v>3</v>
      </c>
      <c r="U219" s="34">
        <v>0</v>
      </c>
      <c r="V219" s="34">
        <v>1.5</v>
      </c>
      <c r="W219" s="34">
        <v>4</v>
      </c>
      <c r="X219" s="34">
        <v>0</v>
      </c>
      <c r="Y219" s="34">
        <v>1.9</v>
      </c>
      <c r="Z219" s="34">
        <v>3.7</v>
      </c>
      <c r="AA219" s="34">
        <v>0</v>
      </c>
      <c r="AB219" s="34">
        <v>2.4</v>
      </c>
      <c r="AC219" s="34">
        <v>3.7</v>
      </c>
      <c r="AD219" s="34">
        <v>4</v>
      </c>
    </row>
    <row r="220" spans="7:30" x14ac:dyDescent="0.2">
      <c r="G220" s="52"/>
      <c r="H220" s="45"/>
      <c r="I220" s="45"/>
      <c r="J220" s="45"/>
      <c r="L220" s="34">
        <v>1.5</v>
      </c>
      <c r="M220" s="34">
        <v>3</v>
      </c>
      <c r="N220" s="34">
        <v>4</v>
      </c>
      <c r="O220" s="34">
        <v>1.5</v>
      </c>
      <c r="P220" s="34">
        <v>3</v>
      </c>
      <c r="Q220" s="34">
        <v>4</v>
      </c>
      <c r="R220" s="34">
        <v>1.5</v>
      </c>
      <c r="S220" s="34">
        <v>3</v>
      </c>
      <c r="T220" s="34">
        <v>4</v>
      </c>
      <c r="U220" s="34">
        <v>1.5</v>
      </c>
      <c r="V220" s="34">
        <v>4</v>
      </c>
      <c r="W220" s="34">
        <v>5</v>
      </c>
      <c r="X220" s="34">
        <v>1.9</v>
      </c>
      <c r="Y220" s="34">
        <v>3.7</v>
      </c>
      <c r="Z220" s="34">
        <v>5</v>
      </c>
      <c r="AA220" s="34">
        <v>2.4</v>
      </c>
      <c r="AB220" s="34">
        <v>3.7</v>
      </c>
      <c r="AC220" s="34">
        <v>5</v>
      </c>
      <c r="AD220" s="34">
        <v>5</v>
      </c>
    </row>
    <row r="221" spans="7:30" x14ac:dyDescent="0.2">
      <c r="G221" s="52"/>
      <c r="H221" s="45"/>
      <c r="I221" s="45"/>
      <c r="J221" s="45"/>
      <c r="L221" s="34"/>
      <c r="M221" s="34">
        <v>79</v>
      </c>
      <c r="N221" s="34">
        <v>79</v>
      </c>
      <c r="O221" s="34">
        <v>73</v>
      </c>
      <c r="P221" s="34">
        <v>73</v>
      </c>
      <c r="Q221" s="34">
        <v>73</v>
      </c>
      <c r="R221" s="34">
        <v>62</v>
      </c>
      <c r="S221" s="34">
        <v>62</v>
      </c>
      <c r="T221" s="34">
        <v>62</v>
      </c>
      <c r="U221" s="34">
        <v>52</v>
      </c>
      <c r="V221" s="34">
        <v>52</v>
      </c>
      <c r="W221" s="34">
        <v>52</v>
      </c>
      <c r="X221" s="34">
        <v>43</v>
      </c>
      <c r="Y221" s="34">
        <v>43</v>
      </c>
      <c r="Z221" s="34">
        <v>46</v>
      </c>
      <c r="AA221" s="58">
        <v>27</v>
      </c>
      <c r="AB221" s="34">
        <v>27</v>
      </c>
      <c r="AC221" s="34">
        <v>30</v>
      </c>
      <c r="AD221" s="34"/>
    </row>
    <row r="222" spans="7:30" x14ac:dyDescent="0.2">
      <c r="G222" s="52"/>
      <c r="H222" s="45"/>
      <c r="I222" s="45"/>
      <c r="J222" s="45"/>
      <c r="L222" s="34">
        <v>73</v>
      </c>
      <c r="M222" s="34">
        <v>73</v>
      </c>
      <c r="N222" s="34">
        <v>73</v>
      </c>
      <c r="O222" s="34">
        <v>62</v>
      </c>
      <c r="P222" s="34">
        <v>62</v>
      </c>
      <c r="Q222" s="34">
        <v>62</v>
      </c>
      <c r="R222" s="34">
        <v>52</v>
      </c>
      <c r="S222" s="34">
        <v>52</v>
      </c>
      <c r="T222" s="34">
        <v>52</v>
      </c>
      <c r="U222" s="34">
        <v>43</v>
      </c>
      <c r="V222" s="34">
        <v>43</v>
      </c>
      <c r="W222" s="34">
        <v>46</v>
      </c>
      <c r="X222" s="34">
        <v>27</v>
      </c>
      <c r="Y222" s="34">
        <v>27</v>
      </c>
      <c r="Z222" s="34">
        <v>27</v>
      </c>
      <c r="AA222" s="58">
        <v>3</v>
      </c>
      <c r="AB222" s="34">
        <v>3</v>
      </c>
      <c r="AC222" s="34">
        <v>3</v>
      </c>
      <c r="AD222" s="60">
        <v>79</v>
      </c>
    </row>
    <row r="223" spans="7:30" x14ac:dyDescent="0.2">
      <c r="G223" s="52"/>
      <c r="H223" s="45"/>
      <c r="I223" s="34">
        <f>SUM(L223:AD223)</f>
        <v>0</v>
      </c>
      <c r="J223" s="45"/>
      <c r="K223" s="37">
        <f>ABS($D$22-K219)+$D$39+$D$40+$D$41</f>
        <v>2</v>
      </c>
      <c r="L223" s="37">
        <f>IF(K223=0,IF($D$13&lt;L220,IF($D$7&gt;=L222,1,0),0),0)</f>
        <v>0</v>
      </c>
      <c r="M223" s="37">
        <f t="shared" ref="M223:Y223" si="86">IF($K223=0,IF(AND($D$13&gt;=M219,$D$13&lt;M220),IF(AND($D$7&lt;M221,$D$7&gt;=M222),1,0),0),0)</f>
        <v>0</v>
      </c>
      <c r="N223" s="37">
        <f t="shared" si="86"/>
        <v>0</v>
      </c>
      <c r="O223" s="37">
        <f t="shared" si="86"/>
        <v>0</v>
      </c>
      <c r="P223" s="37">
        <f t="shared" si="86"/>
        <v>0</v>
      </c>
      <c r="Q223" s="37">
        <f t="shared" si="86"/>
        <v>0</v>
      </c>
      <c r="R223" s="37">
        <f t="shared" si="86"/>
        <v>0</v>
      </c>
      <c r="S223" s="37">
        <f t="shared" si="86"/>
        <v>0</v>
      </c>
      <c r="T223" s="37">
        <f t="shared" si="86"/>
        <v>0</v>
      </c>
      <c r="U223" s="37">
        <f t="shared" si="86"/>
        <v>0</v>
      </c>
      <c r="V223" s="37">
        <f t="shared" si="86"/>
        <v>0</v>
      </c>
      <c r="W223" s="37">
        <f t="shared" si="86"/>
        <v>0</v>
      </c>
      <c r="X223" s="37">
        <f t="shared" si="86"/>
        <v>0</v>
      </c>
      <c r="Y223" s="37">
        <f t="shared" si="86"/>
        <v>0</v>
      </c>
      <c r="Z223" s="37">
        <f>IF($K223+V223=0,IF(AND($D$13&gt;=Z219,$D$13&lt;Z220),IF(AND($D$7&lt;Z221,$D$7&gt;=Z222),1,0),0),0)</f>
        <v>0</v>
      </c>
      <c r="AA223" s="37">
        <f t="shared" ref="AA223:AC223" si="87">IF($K223=0,IF(AND($D$13&gt;=AA219,$D$13&lt;AA220),IF(AND($D$7&lt;AA221,$D$7&gt;=AA222),1,0),0),0)</f>
        <v>0</v>
      </c>
      <c r="AB223" s="37">
        <f t="shared" si="87"/>
        <v>0</v>
      </c>
      <c r="AC223" s="37">
        <f t="shared" si="87"/>
        <v>0</v>
      </c>
      <c r="AD223" s="37">
        <f>IF($K223=0,IF(AND($D$13&gt;=AD219,$D$13&lt;AD220),IF($D$7&gt;=AD222,1,0),0),0)</f>
        <v>0</v>
      </c>
    </row>
    <row r="224" spans="7:30" x14ac:dyDescent="0.2">
      <c r="G224" s="52"/>
      <c r="H224" s="45"/>
      <c r="I224" s="45" t="str">
        <f>L224&amp;M224&amp;N224&amp;O224&amp;P224&amp;Q224&amp;R224&amp;S224&amp;T224&amp;U224&amp;V224&amp;W224&amp;X224&amp;Y224&amp;Z224&amp;AA224&amp;AB224&amp;AC224&amp;AD224</f>
        <v/>
      </c>
      <c r="J224" s="45"/>
      <c r="L224" s="37" t="str">
        <f t="shared" ref="L224" si="88">IF(L223=1,L225,"")</f>
        <v/>
      </c>
      <c r="M224" s="37" t="str">
        <f t="shared" ref="M224" si="89">IF(M223=1,M225,"")</f>
        <v/>
      </c>
      <c r="N224" s="37" t="str">
        <f t="shared" ref="N224" si="90">IF(N223=1,N225,"")</f>
        <v/>
      </c>
      <c r="O224" s="37" t="str">
        <f t="shared" ref="O224" si="91">IF(O223=1,O225,"")</f>
        <v/>
      </c>
      <c r="P224" s="37" t="str">
        <f t="shared" ref="P224" si="92">IF(P223=1,P225,"")</f>
        <v/>
      </c>
      <c r="Q224" s="37" t="str">
        <f t="shared" ref="Q224" si="93">IF(Q223=1,Q225,"")</f>
        <v/>
      </c>
      <c r="R224" s="37" t="str">
        <f t="shared" ref="R224" si="94">IF(R223=1,R225,"")</f>
        <v/>
      </c>
      <c r="S224" s="37" t="str">
        <f t="shared" ref="S224" si="95">IF(S223=1,S225,"")</f>
        <v/>
      </c>
      <c r="T224" s="37" t="str">
        <f t="shared" ref="T224" si="96">IF(T223=1,T225,"")</f>
        <v/>
      </c>
      <c r="U224" s="37" t="str">
        <f t="shared" ref="U224" si="97">IF(U223=1,U225,"")</f>
        <v/>
      </c>
      <c r="V224" s="37" t="str">
        <f t="shared" ref="V224" si="98">IF(V223=1,V225,"")</f>
        <v/>
      </c>
      <c r="W224" s="37" t="str">
        <f t="shared" ref="W224" si="99">IF(W223=1,W225,"")</f>
        <v/>
      </c>
      <c r="X224" s="37" t="str">
        <f t="shared" ref="X224" si="100">IF(X223=1,X225,"")</f>
        <v/>
      </c>
      <c r="Y224" s="37" t="str">
        <f t="shared" ref="Y224" si="101">IF(Y223=1,Y225,"")</f>
        <v/>
      </c>
      <c r="Z224" s="37" t="str">
        <f t="shared" ref="Z224" si="102">IF(Z223=1,Z225,"")</f>
        <v/>
      </c>
      <c r="AA224" s="37" t="str">
        <f t="shared" ref="AA224" si="103">IF(AA223=1,AA225,"")</f>
        <v/>
      </c>
      <c r="AB224" s="37" t="str">
        <f t="shared" ref="AB224" si="104">IF(AB223=1,AB225,"")</f>
        <v/>
      </c>
      <c r="AC224" s="37" t="str">
        <f t="shared" ref="AC224:AD224" si="105">IF(AC223=1,AC225,"")</f>
        <v/>
      </c>
      <c r="AD224" s="37" t="str">
        <f t="shared" si="105"/>
        <v/>
      </c>
    </row>
    <row r="225" spans="7:30" ht="39.950000000000003" customHeight="1" x14ac:dyDescent="0.2">
      <c r="G225" s="52"/>
      <c r="H225" s="45"/>
      <c r="I225" s="45"/>
      <c r="J225" s="45"/>
      <c r="L225" s="59" t="s">
        <v>228</v>
      </c>
      <c r="M225" s="59" t="s">
        <v>88</v>
      </c>
      <c r="N225" s="59" t="s">
        <v>89</v>
      </c>
      <c r="O225" s="59" t="s">
        <v>90</v>
      </c>
      <c r="P225" s="59" t="s">
        <v>91</v>
      </c>
      <c r="Q225" s="59" t="s">
        <v>92</v>
      </c>
      <c r="R225" s="59" t="s">
        <v>93</v>
      </c>
      <c r="S225" s="59" t="s">
        <v>94</v>
      </c>
      <c r="T225" s="59" t="s">
        <v>95</v>
      </c>
      <c r="U225" s="59" t="s">
        <v>72</v>
      </c>
      <c r="V225" s="59" t="s">
        <v>96</v>
      </c>
      <c r="W225" s="59" t="s">
        <v>103</v>
      </c>
      <c r="X225" s="59" t="s">
        <v>97</v>
      </c>
      <c r="Y225" s="59" t="s">
        <v>98</v>
      </c>
      <c r="Z225" s="59" t="s">
        <v>99</v>
      </c>
      <c r="AA225" s="59" t="s">
        <v>100</v>
      </c>
      <c r="AB225" s="59" t="s">
        <v>101</v>
      </c>
      <c r="AC225" s="59" t="s">
        <v>102</v>
      </c>
      <c r="AD225" s="59" t="s">
        <v>183</v>
      </c>
    </row>
    <row r="226" spans="7:30" x14ac:dyDescent="0.2">
      <c r="G226" s="52"/>
      <c r="H226" s="45"/>
      <c r="I226" s="45"/>
      <c r="J226" s="45"/>
      <c r="K226" s="34">
        <v>18</v>
      </c>
      <c r="L226" s="34"/>
      <c r="M226" s="34">
        <v>1.5</v>
      </c>
      <c r="N226" s="34">
        <v>3</v>
      </c>
      <c r="O226" s="34">
        <v>0</v>
      </c>
      <c r="P226" s="34">
        <v>1.5</v>
      </c>
      <c r="Q226" s="34">
        <v>3</v>
      </c>
      <c r="R226" s="34">
        <v>0</v>
      </c>
      <c r="S226" s="34">
        <v>1.5</v>
      </c>
      <c r="T226" s="34">
        <v>4</v>
      </c>
      <c r="U226" s="34">
        <v>0</v>
      </c>
      <c r="V226" s="34">
        <v>1.9</v>
      </c>
      <c r="W226" s="34">
        <v>3.7</v>
      </c>
      <c r="X226" s="34">
        <v>0</v>
      </c>
      <c r="Y226" s="34">
        <v>2.4</v>
      </c>
      <c r="Z226" s="34">
        <v>3.7</v>
      </c>
    </row>
    <row r="227" spans="7:30" x14ac:dyDescent="0.2">
      <c r="G227" s="52"/>
      <c r="H227" s="45"/>
      <c r="I227" s="45"/>
      <c r="J227" s="45"/>
      <c r="L227" s="34">
        <v>1.5</v>
      </c>
      <c r="M227" s="34">
        <v>3</v>
      </c>
      <c r="N227" s="34">
        <v>4</v>
      </c>
      <c r="O227" s="34">
        <v>1.5</v>
      </c>
      <c r="P227" s="34">
        <v>3</v>
      </c>
      <c r="Q227" s="34">
        <v>4</v>
      </c>
      <c r="R227" s="34">
        <v>1.5</v>
      </c>
      <c r="S227" s="34">
        <v>4</v>
      </c>
      <c r="T227" s="34">
        <v>5</v>
      </c>
      <c r="U227" s="34">
        <v>1.9</v>
      </c>
      <c r="V227" s="34">
        <v>3.7</v>
      </c>
      <c r="W227" s="34">
        <v>5</v>
      </c>
      <c r="X227" s="34">
        <v>2.4</v>
      </c>
      <c r="Y227" s="34">
        <v>3.7</v>
      </c>
      <c r="Z227" s="34">
        <v>5</v>
      </c>
    </row>
    <row r="228" spans="7:30" x14ac:dyDescent="0.2">
      <c r="G228" s="52"/>
      <c r="H228" s="45"/>
      <c r="I228" s="45"/>
      <c r="J228" s="45"/>
      <c r="L228" s="34"/>
      <c r="M228" s="34">
        <v>66</v>
      </c>
      <c r="N228" s="34">
        <v>66</v>
      </c>
      <c r="O228" s="34">
        <v>62</v>
      </c>
      <c r="P228" s="34">
        <v>62</v>
      </c>
      <c r="Q228" s="34">
        <v>62</v>
      </c>
      <c r="R228" s="34">
        <v>52</v>
      </c>
      <c r="S228" s="34">
        <v>52</v>
      </c>
      <c r="T228" s="34">
        <v>52</v>
      </c>
      <c r="U228" s="34">
        <v>43</v>
      </c>
      <c r="V228" s="34">
        <v>43</v>
      </c>
      <c r="W228" s="34">
        <v>46</v>
      </c>
      <c r="X228" s="34">
        <v>27</v>
      </c>
      <c r="Y228" s="34">
        <v>27</v>
      </c>
      <c r="Z228" s="34">
        <v>27</v>
      </c>
    </row>
    <row r="229" spans="7:30" x14ac:dyDescent="0.2">
      <c r="G229" s="52"/>
      <c r="H229" s="45"/>
      <c r="I229" s="45"/>
      <c r="J229" s="45"/>
      <c r="L229" s="34">
        <v>61.5</v>
      </c>
      <c r="M229" s="34">
        <v>62</v>
      </c>
      <c r="N229" s="34">
        <v>62</v>
      </c>
      <c r="O229" s="34">
        <v>52</v>
      </c>
      <c r="P229" s="34">
        <v>52</v>
      </c>
      <c r="Q229" s="34">
        <v>52</v>
      </c>
      <c r="R229" s="34">
        <v>43</v>
      </c>
      <c r="S229" s="34">
        <v>43</v>
      </c>
      <c r="T229" s="34">
        <v>46</v>
      </c>
      <c r="U229" s="34">
        <v>27</v>
      </c>
      <c r="V229" s="34">
        <v>27</v>
      </c>
      <c r="W229" s="34">
        <v>27</v>
      </c>
      <c r="X229" s="34">
        <v>3</v>
      </c>
      <c r="Y229" s="34">
        <v>3</v>
      </c>
      <c r="Z229" s="58">
        <v>3</v>
      </c>
    </row>
    <row r="230" spans="7:30" x14ac:dyDescent="0.2">
      <c r="G230" s="52"/>
      <c r="H230" s="45"/>
      <c r="I230" s="34">
        <f>SUM(L230:Z230)</f>
        <v>0</v>
      </c>
      <c r="J230" s="45"/>
      <c r="K230" s="37">
        <f>ABS($D$22-K226)+$D$39+$D$40+$D$41</f>
        <v>3</v>
      </c>
      <c r="L230" s="37">
        <f>IF(K230=0,IF($D$13&lt;L227,IF($D$7&gt;=L229,1,0),0),0)</f>
        <v>0</v>
      </c>
      <c r="M230" s="37">
        <f t="shared" ref="M230:V230" si="106">IF($K230=0,IF(AND($D$13&gt;=M226,$D$13&lt;M227),IF(AND($D$7&lt;M228,$D$7&gt;=M229),1,0),0),0)</f>
        <v>0</v>
      </c>
      <c r="N230" s="37">
        <f t="shared" si="106"/>
        <v>0</v>
      </c>
      <c r="O230" s="37">
        <f t="shared" si="106"/>
        <v>0</v>
      </c>
      <c r="P230" s="37">
        <f t="shared" si="106"/>
        <v>0</v>
      </c>
      <c r="Q230" s="37">
        <f t="shared" si="106"/>
        <v>0</v>
      </c>
      <c r="R230" s="37">
        <f t="shared" si="106"/>
        <v>0</v>
      </c>
      <c r="S230" s="37">
        <f t="shared" si="106"/>
        <v>0</v>
      </c>
      <c r="T230" s="37">
        <f t="shared" si="106"/>
        <v>0</v>
      </c>
      <c r="U230" s="37">
        <f t="shared" si="106"/>
        <v>0</v>
      </c>
      <c r="V230" s="37">
        <f t="shared" si="106"/>
        <v>0</v>
      </c>
      <c r="W230" s="37">
        <f>IF($K230+S230=0,IF(AND($D$13&gt;=W226,$D$13&lt;W227),IF(AND($D$7&lt;W228,$D$7&gt;=W229),1,0),0),0)</f>
        <v>0</v>
      </c>
      <c r="X230" s="37">
        <f t="shared" ref="X230:Z230" si="107">IF($K230=0,IF(AND($D$13&gt;=X226,$D$13&lt;X227),IF(AND($D$7&lt;X228,$D$7&gt;=X229),1,0),0),0)</f>
        <v>0</v>
      </c>
      <c r="Y230" s="37">
        <f t="shared" si="107"/>
        <v>0</v>
      </c>
      <c r="Z230" s="37">
        <f t="shared" si="107"/>
        <v>0</v>
      </c>
    </row>
    <row r="231" spans="7:30" x14ac:dyDescent="0.2">
      <c r="G231" s="52"/>
      <c r="H231" s="45"/>
      <c r="I231" s="45" t="str">
        <f>L231&amp;M231&amp;N231&amp;O231&amp;P231&amp;Q231&amp;R231&amp;S231&amp;T231&amp;U231&amp;V231&amp;W231&amp;X231&amp;Y231&amp;Z231</f>
        <v/>
      </c>
      <c r="J231" s="45"/>
      <c r="L231" s="37" t="str">
        <f t="shared" ref="L231" si="108">IF(L230=1,L232,"")</f>
        <v/>
      </c>
      <c r="M231" s="37" t="str">
        <f t="shared" ref="M231" si="109">IF(M230=1,M232,"")</f>
        <v/>
      </c>
      <c r="N231" s="37" t="str">
        <f t="shared" ref="N231" si="110">IF(N230=1,N232,"")</f>
        <v/>
      </c>
      <c r="O231" s="37" t="str">
        <f t="shared" ref="O231" si="111">IF(O230=1,O232,"")</f>
        <v/>
      </c>
      <c r="P231" s="37" t="str">
        <f t="shared" ref="P231" si="112">IF(P230=1,P232,"")</f>
        <v/>
      </c>
      <c r="Q231" s="37" t="str">
        <f t="shared" ref="Q231" si="113">IF(Q230=1,Q232,"")</f>
        <v/>
      </c>
      <c r="R231" s="37" t="str">
        <f t="shared" ref="R231" si="114">IF(R230=1,R232,"")</f>
        <v/>
      </c>
      <c r="S231" s="37" t="str">
        <f t="shared" ref="S231" si="115">IF(S230=1,S232,"")</f>
        <v/>
      </c>
      <c r="T231" s="37" t="str">
        <f t="shared" ref="T231" si="116">IF(T230=1,T232,"")</f>
        <v/>
      </c>
      <c r="U231" s="37" t="str">
        <f t="shared" ref="U231" si="117">IF(U230=1,U232,"")</f>
        <v/>
      </c>
      <c r="V231" s="37" t="str">
        <f t="shared" ref="V231" si="118">IF(V230=1,V232,"")</f>
        <v/>
      </c>
      <c r="W231" s="37" t="str">
        <f t="shared" ref="W231" si="119">IF(W230=1,W232,"")</f>
        <v/>
      </c>
      <c r="X231" s="37" t="str">
        <f t="shared" ref="X231" si="120">IF(X230=1,X232,"")</f>
        <v/>
      </c>
      <c r="Y231" s="37" t="str">
        <f t="shared" ref="Y231" si="121">IF(Y230=1,Y232,"")</f>
        <v/>
      </c>
      <c r="Z231" s="37" t="str">
        <f t="shared" ref="Z231" si="122">IF(Z230=1,Z232,"")</f>
        <v/>
      </c>
    </row>
    <row r="232" spans="7:30" ht="39.950000000000003" customHeight="1" x14ac:dyDescent="0.2">
      <c r="G232" s="52"/>
      <c r="H232" s="45"/>
      <c r="I232" s="45"/>
      <c r="J232" s="45"/>
      <c r="L232" s="59" t="s">
        <v>90</v>
      </c>
      <c r="M232" s="59" t="s">
        <v>91</v>
      </c>
      <c r="N232" s="59" t="s">
        <v>154</v>
      </c>
      <c r="O232" s="59" t="s">
        <v>93</v>
      </c>
      <c r="P232" s="59" t="s">
        <v>94</v>
      </c>
      <c r="Q232" s="59" t="s">
        <v>153</v>
      </c>
      <c r="R232" s="59" t="s">
        <v>72</v>
      </c>
      <c r="S232" s="59" t="s">
        <v>152</v>
      </c>
      <c r="T232" s="59" t="s">
        <v>151</v>
      </c>
      <c r="U232" s="59" t="s">
        <v>150</v>
      </c>
      <c r="V232" s="59" t="s">
        <v>149</v>
      </c>
      <c r="W232" s="59" t="s">
        <v>148</v>
      </c>
      <c r="X232" s="59" t="s">
        <v>147</v>
      </c>
      <c r="Y232" s="59" t="s">
        <v>146</v>
      </c>
      <c r="Z232" s="59" t="s">
        <v>145</v>
      </c>
    </row>
    <row r="233" spans="7:30" x14ac:dyDescent="0.2">
      <c r="G233" s="52"/>
      <c r="H233" s="45"/>
      <c r="I233" s="45"/>
      <c r="J233" s="45"/>
      <c r="K233" s="34">
        <v>19</v>
      </c>
      <c r="L233" s="34"/>
      <c r="M233" s="34">
        <v>1.5</v>
      </c>
      <c r="N233" s="34">
        <v>3</v>
      </c>
      <c r="O233" s="34">
        <v>0</v>
      </c>
      <c r="P233" s="34">
        <v>1.5</v>
      </c>
      <c r="Q233" s="34">
        <v>3</v>
      </c>
      <c r="R233" s="34">
        <v>0</v>
      </c>
      <c r="S233" s="34">
        <v>1.5</v>
      </c>
      <c r="T233" s="34">
        <v>4</v>
      </c>
      <c r="U233" s="34">
        <v>0</v>
      </c>
      <c r="V233" s="34">
        <v>1.9</v>
      </c>
      <c r="W233" s="34">
        <v>3.7</v>
      </c>
      <c r="X233" s="34">
        <v>0</v>
      </c>
      <c r="Y233" s="34">
        <v>2.4</v>
      </c>
      <c r="Z233" s="34">
        <v>3.7</v>
      </c>
    </row>
    <row r="234" spans="7:30" x14ac:dyDescent="0.2">
      <c r="G234" s="52"/>
      <c r="H234" s="45"/>
      <c r="I234" s="45"/>
      <c r="J234" s="45"/>
      <c r="L234" s="34">
        <v>1.5</v>
      </c>
      <c r="M234" s="34">
        <v>3</v>
      </c>
      <c r="N234" s="34">
        <v>4</v>
      </c>
      <c r="O234" s="34">
        <v>1.5</v>
      </c>
      <c r="P234" s="34">
        <v>3</v>
      </c>
      <c r="Q234" s="34">
        <v>4</v>
      </c>
      <c r="R234" s="34">
        <v>1.5</v>
      </c>
      <c r="S234" s="34">
        <v>4</v>
      </c>
      <c r="T234" s="34">
        <v>5</v>
      </c>
      <c r="U234" s="34">
        <v>1.9</v>
      </c>
      <c r="V234" s="34">
        <v>3.7</v>
      </c>
      <c r="W234" s="34">
        <v>5</v>
      </c>
      <c r="X234" s="34">
        <v>2.4</v>
      </c>
      <c r="Y234" s="34">
        <v>3.7</v>
      </c>
      <c r="Z234" s="34">
        <v>5</v>
      </c>
    </row>
    <row r="235" spans="7:30" x14ac:dyDescent="0.2">
      <c r="G235" s="52"/>
      <c r="H235" s="45"/>
      <c r="I235" s="45"/>
      <c r="J235" s="45"/>
      <c r="L235" s="34"/>
      <c r="M235" s="34">
        <v>66</v>
      </c>
      <c r="N235" s="34">
        <v>66</v>
      </c>
      <c r="O235" s="34">
        <v>62</v>
      </c>
      <c r="P235" s="34">
        <v>62</v>
      </c>
      <c r="Q235" s="34">
        <v>62</v>
      </c>
      <c r="R235" s="34">
        <v>52</v>
      </c>
      <c r="S235" s="34">
        <v>52</v>
      </c>
      <c r="T235" s="34">
        <v>52</v>
      </c>
      <c r="U235" s="34">
        <v>43</v>
      </c>
      <c r="V235" s="34">
        <v>43</v>
      </c>
      <c r="W235" s="34">
        <v>46</v>
      </c>
      <c r="X235" s="34">
        <v>27</v>
      </c>
      <c r="Y235" s="34">
        <v>27</v>
      </c>
      <c r="Z235" s="34">
        <v>27</v>
      </c>
    </row>
    <row r="236" spans="7:30" x14ac:dyDescent="0.2">
      <c r="G236" s="52"/>
      <c r="H236" s="45"/>
      <c r="I236" s="45"/>
      <c r="J236" s="45"/>
      <c r="L236" s="34">
        <v>62</v>
      </c>
      <c r="M236" s="34">
        <v>62</v>
      </c>
      <c r="N236" s="34">
        <v>62</v>
      </c>
      <c r="O236" s="34">
        <v>52</v>
      </c>
      <c r="P236" s="34">
        <v>52</v>
      </c>
      <c r="Q236" s="34">
        <v>52</v>
      </c>
      <c r="R236" s="34">
        <v>43</v>
      </c>
      <c r="S236" s="34">
        <v>43</v>
      </c>
      <c r="T236" s="34">
        <v>46</v>
      </c>
      <c r="U236" s="34">
        <v>27</v>
      </c>
      <c r="V236" s="34">
        <v>27</v>
      </c>
      <c r="W236" s="34">
        <v>27</v>
      </c>
      <c r="X236" s="34">
        <v>3</v>
      </c>
      <c r="Y236" s="34">
        <v>3</v>
      </c>
      <c r="Z236" s="58">
        <v>3</v>
      </c>
    </row>
    <row r="237" spans="7:30" x14ac:dyDescent="0.2">
      <c r="G237" s="52"/>
      <c r="H237" s="45"/>
      <c r="I237" s="34">
        <f>SUM(L237:Z237)</f>
        <v>0</v>
      </c>
      <c r="J237" s="45"/>
      <c r="K237" s="37">
        <f>ABS($D$22-K233)+$D$39+$D$40+$D$41</f>
        <v>4</v>
      </c>
      <c r="L237" s="37">
        <f>IF(K237=0,IF($D$13&lt;L234,IF($D$7&gt;=L236,1,0),0),0)</f>
        <v>0</v>
      </c>
      <c r="M237" s="37">
        <f t="shared" ref="M237:V237" si="123">IF($K237=0,IF(AND($D$13&gt;=M233,$D$13&lt;M234),IF(AND($D$7&lt;M235,$D$7&gt;=M236),1,0),0),0)</f>
        <v>0</v>
      </c>
      <c r="N237" s="37">
        <f t="shared" si="123"/>
        <v>0</v>
      </c>
      <c r="O237" s="37">
        <f t="shared" si="123"/>
        <v>0</v>
      </c>
      <c r="P237" s="37">
        <f t="shared" si="123"/>
        <v>0</v>
      </c>
      <c r="Q237" s="37">
        <f t="shared" si="123"/>
        <v>0</v>
      </c>
      <c r="R237" s="37">
        <f t="shared" si="123"/>
        <v>0</v>
      </c>
      <c r="S237" s="37">
        <f t="shared" si="123"/>
        <v>0</v>
      </c>
      <c r="T237" s="37">
        <f t="shared" si="123"/>
        <v>0</v>
      </c>
      <c r="U237" s="37">
        <f t="shared" si="123"/>
        <v>0</v>
      </c>
      <c r="V237" s="37">
        <f t="shared" si="123"/>
        <v>0</v>
      </c>
      <c r="W237" s="37">
        <f>IF($K237+S237=0,IF(AND($D$13&gt;=W233,$D$13&lt;W234),IF(AND($D$7&lt;W235,$D$7&gt;=W236),1,0),0),0)</f>
        <v>0</v>
      </c>
      <c r="X237" s="37">
        <f t="shared" ref="X237:Z237" si="124">IF($K237=0,IF(AND($D$13&gt;=X233,$D$13&lt;X234),IF(AND($D$7&lt;X235,$D$7&gt;=X236),1,0),0),0)</f>
        <v>0</v>
      </c>
      <c r="Y237" s="37">
        <f t="shared" si="124"/>
        <v>0</v>
      </c>
      <c r="Z237" s="37">
        <f t="shared" si="124"/>
        <v>0</v>
      </c>
    </row>
    <row r="238" spans="7:30" x14ac:dyDescent="0.2">
      <c r="G238" s="52"/>
      <c r="H238" s="45"/>
      <c r="I238" s="45" t="str">
        <f>L238&amp;M238&amp;N238&amp;O238&amp;P238&amp;Q238&amp;R238&amp;S238&amp;T238&amp;U238&amp;V238&amp;W238&amp;X238&amp;Y238&amp;Z238</f>
        <v/>
      </c>
      <c r="J238" s="45"/>
      <c r="L238" s="37" t="str">
        <f t="shared" ref="L238" si="125">IF(L237=1,L239,"")</f>
        <v/>
      </c>
      <c r="M238" s="37" t="str">
        <f t="shared" ref="M238" si="126">IF(M237=1,M239,"")</f>
        <v/>
      </c>
      <c r="N238" s="37" t="str">
        <f t="shared" ref="N238" si="127">IF(N237=1,N239,"")</f>
        <v/>
      </c>
      <c r="O238" s="37" t="str">
        <f t="shared" ref="O238" si="128">IF(O237=1,O239,"")</f>
        <v/>
      </c>
      <c r="P238" s="37" t="str">
        <f t="shared" ref="P238" si="129">IF(P237=1,P239,"")</f>
        <v/>
      </c>
      <c r="Q238" s="37" t="str">
        <f t="shared" ref="Q238" si="130">IF(Q237=1,Q239,"")</f>
        <v/>
      </c>
      <c r="R238" s="37" t="str">
        <f t="shared" ref="R238" si="131">IF(R237=1,R239,"")</f>
        <v/>
      </c>
      <c r="S238" s="37" t="str">
        <f t="shared" ref="S238" si="132">IF(S237=1,S239,"")</f>
        <v/>
      </c>
      <c r="T238" s="37" t="str">
        <f t="shared" ref="T238" si="133">IF(T237=1,T239,"")</f>
        <v/>
      </c>
      <c r="U238" s="37" t="str">
        <f t="shared" ref="U238" si="134">IF(U237=1,U239,"")</f>
        <v/>
      </c>
      <c r="V238" s="37" t="str">
        <f t="shared" ref="V238" si="135">IF(V237=1,V239,"")</f>
        <v/>
      </c>
      <c r="W238" s="37" t="str">
        <f t="shared" ref="W238" si="136">IF(W237=1,W239,"")</f>
        <v/>
      </c>
      <c r="X238" s="37" t="str">
        <f t="shared" ref="X238" si="137">IF(X237=1,X239,"")</f>
        <v/>
      </c>
      <c r="Y238" s="37" t="str">
        <f t="shared" ref="Y238" si="138">IF(Y237=1,Y239,"")</f>
        <v/>
      </c>
      <c r="Z238" s="37" t="str">
        <f t="shared" ref="Z238" si="139">IF(Z237=1,Z239,"")</f>
        <v/>
      </c>
    </row>
    <row r="239" spans="7:30" ht="39.950000000000003" customHeight="1" x14ac:dyDescent="0.2">
      <c r="G239" s="52"/>
      <c r="H239" s="45"/>
      <c r="I239" s="45"/>
      <c r="J239" s="45"/>
      <c r="L239" s="59" t="s">
        <v>90</v>
      </c>
      <c r="M239" s="59" t="s">
        <v>91</v>
      </c>
      <c r="N239" s="59" t="s">
        <v>154</v>
      </c>
      <c r="O239" s="59" t="s">
        <v>93</v>
      </c>
      <c r="P239" s="59" t="s">
        <v>94</v>
      </c>
      <c r="Q239" s="59" t="s">
        <v>153</v>
      </c>
      <c r="R239" s="59" t="s">
        <v>72</v>
      </c>
      <c r="S239" s="59" t="s">
        <v>104</v>
      </c>
      <c r="T239" s="59" t="s">
        <v>151</v>
      </c>
      <c r="U239" s="59" t="s">
        <v>105</v>
      </c>
      <c r="V239" s="59" t="s">
        <v>106</v>
      </c>
      <c r="W239" s="59" t="s">
        <v>107</v>
      </c>
      <c r="X239" s="59" t="s">
        <v>108</v>
      </c>
      <c r="Y239" s="59" t="s">
        <v>109</v>
      </c>
      <c r="Z239" s="59" t="s">
        <v>110</v>
      </c>
    </row>
    <row r="240" spans="7:30" x14ac:dyDescent="0.2">
      <c r="G240" s="52"/>
      <c r="H240" s="45"/>
      <c r="I240" s="45"/>
      <c r="J240" s="45"/>
      <c r="K240" s="34">
        <v>20</v>
      </c>
      <c r="L240" s="34"/>
      <c r="M240" s="34">
        <v>1.5</v>
      </c>
      <c r="N240" s="34">
        <v>4</v>
      </c>
      <c r="O240" s="34">
        <v>0</v>
      </c>
      <c r="P240" s="34">
        <v>1.9</v>
      </c>
      <c r="Q240" s="34">
        <v>3.8</v>
      </c>
      <c r="R240" s="34">
        <v>0</v>
      </c>
      <c r="S240" s="34">
        <v>2.4</v>
      </c>
      <c r="T240" s="34">
        <v>3.8</v>
      </c>
    </row>
    <row r="241" spans="7:22" x14ac:dyDescent="0.2">
      <c r="G241" s="52"/>
      <c r="H241" s="45"/>
      <c r="I241" s="45"/>
      <c r="J241" s="45"/>
      <c r="L241" s="34">
        <v>1.5</v>
      </c>
      <c r="M241" s="34">
        <v>4</v>
      </c>
      <c r="N241" s="34">
        <v>5</v>
      </c>
      <c r="O241" s="34">
        <v>1.9</v>
      </c>
      <c r="P241" s="34">
        <v>3.8</v>
      </c>
      <c r="Q241" s="34">
        <v>5</v>
      </c>
      <c r="R241" s="34">
        <v>2.4</v>
      </c>
      <c r="S241" s="34">
        <v>3.8</v>
      </c>
      <c r="T241" s="34">
        <v>5</v>
      </c>
    </row>
    <row r="242" spans="7:22" x14ac:dyDescent="0.2">
      <c r="G242" s="52"/>
      <c r="H242" s="45"/>
      <c r="I242" s="45"/>
      <c r="J242" s="45"/>
      <c r="L242" s="34"/>
      <c r="M242" s="34">
        <v>46</v>
      </c>
      <c r="N242" s="34">
        <v>46</v>
      </c>
      <c r="O242" s="34">
        <v>38</v>
      </c>
      <c r="P242" s="34">
        <v>38</v>
      </c>
      <c r="Q242" s="34">
        <v>41</v>
      </c>
      <c r="R242" s="34">
        <v>25</v>
      </c>
      <c r="S242" s="34">
        <v>25</v>
      </c>
      <c r="T242" s="34">
        <v>25</v>
      </c>
    </row>
    <row r="243" spans="7:22" x14ac:dyDescent="0.2">
      <c r="G243" s="52"/>
      <c r="H243" s="45"/>
      <c r="I243" s="45"/>
      <c r="J243" s="45"/>
      <c r="L243" s="34">
        <v>38</v>
      </c>
      <c r="M243" s="34">
        <v>38</v>
      </c>
      <c r="N243" s="34">
        <v>41</v>
      </c>
      <c r="O243" s="34">
        <v>25</v>
      </c>
      <c r="P243" s="34">
        <v>25</v>
      </c>
      <c r="Q243" s="34">
        <v>25</v>
      </c>
      <c r="R243" s="34">
        <v>3</v>
      </c>
      <c r="S243" s="34">
        <v>3</v>
      </c>
      <c r="T243" s="58">
        <v>3</v>
      </c>
    </row>
    <row r="244" spans="7:22" x14ac:dyDescent="0.2">
      <c r="G244" s="52"/>
      <c r="H244" s="45"/>
      <c r="I244" s="34">
        <f>SUM(L244:T244)</f>
        <v>0</v>
      </c>
      <c r="J244" s="45"/>
      <c r="K244" s="37">
        <f>ABS($D$22-K240)+$D$39+$D$40+$D$41</f>
        <v>5</v>
      </c>
      <c r="L244" s="37">
        <f>IF(K244=0,IF($D$13&lt;L241,IF($D$7&gt;=L243,1,0),0),0)</f>
        <v>0</v>
      </c>
      <c r="M244" s="37">
        <f t="shared" ref="M244:P244" si="140">IF($K244=0,IF(AND($D$13&gt;=M240,$D$13&lt;M241),IF(AND($D$7&lt;M242,$D$7&gt;=M243),1,0),0),0)</f>
        <v>0</v>
      </c>
      <c r="N244" s="37">
        <f t="shared" si="140"/>
        <v>0</v>
      </c>
      <c r="O244" s="37">
        <f t="shared" si="140"/>
        <v>0</v>
      </c>
      <c r="P244" s="37">
        <f t="shared" si="140"/>
        <v>0</v>
      </c>
      <c r="Q244" s="37">
        <f>IF($K244+M244=0,IF(AND($D$13&gt;=Q240,$D$13&lt;Q241),IF(AND($D$7&lt;Q242,$D$7&gt;=Q243),1,0),0),0)</f>
        <v>0</v>
      </c>
      <c r="R244" s="37">
        <f t="shared" ref="R244:T244" si="141">IF($K244=0,IF(AND($D$13&gt;=R240,$D$13&lt;R241),IF(AND($D$7&lt;R242,$D$7&gt;=R243),1,0),0),0)</f>
        <v>0</v>
      </c>
      <c r="S244" s="37">
        <f t="shared" si="141"/>
        <v>0</v>
      </c>
      <c r="T244" s="37">
        <f t="shared" si="141"/>
        <v>0</v>
      </c>
    </row>
    <row r="245" spans="7:22" x14ac:dyDescent="0.2">
      <c r="G245" s="52"/>
      <c r="H245" s="45"/>
      <c r="I245" s="45" t="str">
        <f>L245&amp;M245&amp;N245&amp;O245&amp;P245&amp;Q245&amp;R245&amp;S245&amp;T245</f>
        <v/>
      </c>
      <c r="J245" s="45"/>
      <c r="L245" s="37" t="str">
        <f t="shared" ref="L245" si="142">IF(L244=1,L246,"")</f>
        <v/>
      </c>
      <c r="M245" s="37" t="str">
        <f t="shared" ref="M245" si="143">IF(M244=1,M246,"")</f>
        <v/>
      </c>
      <c r="N245" s="37" t="str">
        <f t="shared" ref="N245" si="144">IF(N244=1,N246,"")</f>
        <v/>
      </c>
      <c r="O245" s="37" t="str">
        <f t="shared" ref="O245" si="145">IF(O244=1,O246,"")</f>
        <v/>
      </c>
      <c r="P245" s="37" t="str">
        <f t="shared" ref="P245" si="146">IF(P244=1,P246,"")</f>
        <v/>
      </c>
      <c r="Q245" s="37" t="str">
        <f t="shared" ref="Q245" si="147">IF(Q244=1,Q246,"")</f>
        <v/>
      </c>
      <c r="R245" s="37" t="str">
        <f t="shared" ref="R245" si="148">IF(R244=1,R246,"")</f>
        <v/>
      </c>
      <c r="S245" s="37" t="str">
        <f t="shared" ref="S245" si="149">IF(S244=1,S246,"")</f>
        <v/>
      </c>
      <c r="T245" s="37" t="str">
        <f t="shared" ref="T245" si="150">IF(T244=1,T246,"")</f>
        <v/>
      </c>
    </row>
    <row r="246" spans="7:22" ht="39.950000000000003" customHeight="1" x14ac:dyDescent="0.2">
      <c r="G246" s="52"/>
      <c r="H246" s="45"/>
      <c r="I246" s="45"/>
      <c r="J246" s="45"/>
      <c r="L246" s="59" t="s">
        <v>111</v>
      </c>
      <c r="M246" s="59" t="s">
        <v>112</v>
      </c>
      <c r="N246" s="59" t="s">
        <v>155</v>
      </c>
      <c r="O246" s="59" t="s">
        <v>113</v>
      </c>
      <c r="P246" s="59" t="s">
        <v>114</v>
      </c>
      <c r="Q246" s="59" t="s">
        <v>115</v>
      </c>
      <c r="R246" s="59" t="s">
        <v>116</v>
      </c>
      <c r="S246" s="59" t="s">
        <v>117</v>
      </c>
      <c r="T246" s="59" t="s">
        <v>118</v>
      </c>
    </row>
    <row r="247" spans="7:22" x14ac:dyDescent="0.2">
      <c r="G247" s="52"/>
      <c r="H247" s="45"/>
      <c r="I247" s="45"/>
      <c r="J247" s="45"/>
      <c r="K247" s="34">
        <v>21</v>
      </c>
      <c r="L247" s="34"/>
      <c r="M247" s="34">
        <v>1.5</v>
      </c>
      <c r="N247" s="34">
        <v>4</v>
      </c>
      <c r="O247" s="34">
        <v>0</v>
      </c>
      <c r="P247" s="34">
        <v>1.9</v>
      </c>
      <c r="Q247" s="34">
        <v>3.8</v>
      </c>
      <c r="R247" s="34">
        <v>0</v>
      </c>
      <c r="S247" s="34">
        <v>2.4</v>
      </c>
      <c r="T247" s="34">
        <v>3.8</v>
      </c>
      <c r="U247" s="34">
        <v>4</v>
      </c>
      <c r="V247" s="34">
        <v>4</v>
      </c>
    </row>
    <row r="248" spans="7:22" x14ac:dyDescent="0.2">
      <c r="G248" s="52"/>
      <c r="H248" s="45"/>
      <c r="I248" s="45"/>
      <c r="J248" s="45"/>
      <c r="L248" s="34">
        <v>1.5</v>
      </c>
      <c r="M248" s="34">
        <v>4</v>
      </c>
      <c r="N248" s="34">
        <v>5</v>
      </c>
      <c r="O248" s="34">
        <v>1.9</v>
      </c>
      <c r="P248" s="34">
        <v>3.8</v>
      </c>
      <c r="Q248" s="34">
        <v>5</v>
      </c>
      <c r="R248" s="34">
        <v>2.4</v>
      </c>
      <c r="S248" s="34">
        <v>3.8</v>
      </c>
      <c r="T248" s="34">
        <v>5</v>
      </c>
      <c r="U248" s="34">
        <v>5</v>
      </c>
      <c r="V248" s="34">
        <v>5</v>
      </c>
    </row>
    <row r="249" spans="7:22" x14ac:dyDescent="0.2">
      <c r="G249" s="52"/>
      <c r="H249" s="45"/>
      <c r="I249" s="45"/>
      <c r="J249" s="45"/>
      <c r="L249" s="34"/>
      <c r="M249" s="34">
        <v>46</v>
      </c>
      <c r="N249" s="34">
        <v>46</v>
      </c>
      <c r="O249" s="34">
        <v>38</v>
      </c>
      <c r="P249" s="34">
        <v>38</v>
      </c>
      <c r="Q249" s="34">
        <v>41</v>
      </c>
      <c r="R249" s="34">
        <v>25</v>
      </c>
      <c r="S249" s="34">
        <v>25</v>
      </c>
      <c r="T249" s="34">
        <v>25</v>
      </c>
      <c r="U249" s="34">
        <v>79</v>
      </c>
      <c r="V249" s="34">
        <v>70</v>
      </c>
    </row>
    <row r="250" spans="7:22" x14ac:dyDescent="0.2">
      <c r="G250" s="52"/>
      <c r="H250" s="45"/>
      <c r="I250" s="45"/>
      <c r="J250" s="45"/>
      <c r="L250" s="34">
        <v>38</v>
      </c>
      <c r="M250" s="34">
        <v>38</v>
      </c>
      <c r="N250" s="34">
        <v>41</v>
      </c>
      <c r="O250" s="34">
        <v>25</v>
      </c>
      <c r="P250" s="34">
        <v>25</v>
      </c>
      <c r="Q250" s="34">
        <v>25</v>
      </c>
      <c r="R250" s="34">
        <v>3</v>
      </c>
      <c r="S250" s="34">
        <v>3</v>
      </c>
      <c r="T250" s="34">
        <v>3</v>
      </c>
      <c r="U250" s="34">
        <v>70</v>
      </c>
      <c r="V250" s="58">
        <v>46</v>
      </c>
    </row>
    <row r="251" spans="7:22" x14ac:dyDescent="0.2">
      <c r="G251" s="52"/>
      <c r="H251" s="45"/>
      <c r="I251" s="34">
        <f>SUM(L251:V251)</f>
        <v>0</v>
      </c>
      <c r="J251" s="45"/>
      <c r="K251" s="37">
        <f>ABS($D$22-K247)+$D$39+$D$40+$D$41</f>
        <v>6</v>
      </c>
      <c r="L251" s="37">
        <f>IF(K251=0,IF($D$13&lt;L248,IF($D$7&gt;=L250,1,0),0),0)</f>
        <v>0</v>
      </c>
      <c r="M251" s="37">
        <f t="shared" ref="M251:P251" si="151">IF($K251=0,IF(AND($D$13&gt;=M247,$D$13&lt;M248),IF(AND($D$7&lt;M249,$D$7&gt;=M250),1,0),0),0)</f>
        <v>0</v>
      </c>
      <c r="N251" s="37">
        <f t="shared" si="151"/>
        <v>0</v>
      </c>
      <c r="O251" s="37">
        <f t="shared" si="151"/>
        <v>0</v>
      </c>
      <c r="P251" s="37">
        <f t="shared" si="151"/>
        <v>0</v>
      </c>
      <c r="Q251" s="37">
        <f>IF($K251+M251=0,IF(AND($D$13&gt;=Q247,$D$13&lt;Q248),IF(AND($D$7&lt;Q249,$D$7&gt;=Q250),1,0),0),0)</f>
        <v>0</v>
      </c>
      <c r="R251" s="37">
        <f t="shared" ref="R251:V251" si="152">IF($K251=0,IF(AND($D$13&gt;=R247,$D$13&lt;R248),IF(AND($D$7&lt;R249,$D$7&gt;=R250),1,0),0),0)</f>
        <v>0</v>
      </c>
      <c r="S251" s="37">
        <f t="shared" si="152"/>
        <v>0</v>
      </c>
      <c r="T251" s="37">
        <f t="shared" si="152"/>
        <v>0</v>
      </c>
      <c r="U251" s="37">
        <f t="shared" si="152"/>
        <v>0</v>
      </c>
      <c r="V251" s="37">
        <f t="shared" si="152"/>
        <v>0</v>
      </c>
    </row>
    <row r="252" spans="7:22" x14ac:dyDescent="0.2">
      <c r="G252" s="52"/>
      <c r="H252" s="45"/>
      <c r="I252" s="45" t="str">
        <f>L252&amp;M252&amp;N252&amp;O252&amp;P252&amp;Q252&amp;R252&amp;S252&amp;T252&amp;U252&amp;V252</f>
        <v/>
      </c>
      <c r="J252" s="45"/>
      <c r="L252" s="37" t="str">
        <f t="shared" ref="L252" si="153">IF(L251=1,L253,"")</f>
        <v/>
      </c>
      <c r="M252" s="37" t="str">
        <f t="shared" ref="M252" si="154">IF(M251=1,M253,"")</f>
        <v/>
      </c>
      <c r="N252" s="37" t="str">
        <f t="shared" ref="N252" si="155">IF(N251=1,N253,"")</f>
        <v/>
      </c>
      <c r="O252" s="37" t="str">
        <f t="shared" ref="O252" si="156">IF(O251=1,O253,"")</f>
        <v/>
      </c>
      <c r="P252" s="37" t="str">
        <f t="shared" ref="P252" si="157">IF(P251=1,P253,"")</f>
        <v/>
      </c>
      <c r="Q252" s="37" t="str">
        <f t="shared" ref="Q252" si="158">IF(Q251=1,Q253,"")</f>
        <v/>
      </c>
      <c r="R252" s="37" t="str">
        <f t="shared" ref="R252" si="159">IF(R251=1,R253,"")</f>
        <v/>
      </c>
      <c r="S252" s="37" t="str">
        <f t="shared" ref="S252" si="160">IF(S251=1,S253,"")</f>
        <v/>
      </c>
      <c r="T252" s="37" t="str">
        <f t="shared" ref="T252" si="161">IF(T251=1,T253,"")</f>
        <v/>
      </c>
      <c r="U252" s="37" t="str">
        <f t="shared" ref="U252" si="162">IF(U251=1,U253,"")</f>
        <v/>
      </c>
      <c r="V252" s="37" t="str">
        <f t="shared" ref="V252" si="163">IF(V251=1,V253,"")</f>
        <v/>
      </c>
    </row>
    <row r="253" spans="7:22" ht="39.950000000000003" customHeight="1" x14ac:dyDescent="0.2">
      <c r="G253" s="52"/>
      <c r="H253" s="45"/>
      <c r="I253" s="45"/>
      <c r="J253" s="45"/>
      <c r="L253" s="59" t="s">
        <v>111</v>
      </c>
      <c r="M253" s="59" t="s">
        <v>119</v>
      </c>
      <c r="N253" s="59" t="s">
        <v>155</v>
      </c>
      <c r="O253" s="59" t="s">
        <v>120</v>
      </c>
      <c r="P253" s="59" t="s">
        <v>121</v>
      </c>
      <c r="Q253" s="59" t="s">
        <v>122</v>
      </c>
      <c r="R253" s="59" t="s">
        <v>123</v>
      </c>
      <c r="S253" s="59" t="s">
        <v>124</v>
      </c>
      <c r="T253" s="59" t="s">
        <v>125</v>
      </c>
      <c r="U253" s="59" t="s">
        <v>157</v>
      </c>
      <c r="V253" s="59" t="s">
        <v>156</v>
      </c>
    </row>
    <row r="254" spans="7:22" x14ac:dyDescent="0.2">
      <c r="G254" s="52"/>
      <c r="H254" s="45"/>
      <c r="I254" s="45"/>
      <c r="J254" s="45"/>
      <c r="K254" s="34">
        <v>22</v>
      </c>
      <c r="L254" s="34"/>
      <c r="M254" s="34">
        <v>1.5</v>
      </c>
      <c r="N254" s="34">
        <v>4</v>
      </c>
      <c r="O254" s="34">
        <v>0</v>
      </c>
      <c r="P254" s="34">
        <v>1.9</v>
      </c>
      <c r="Q254" s="34">
        <v>3.8</v>
      </c>
      <c r="R254" s="34">
        <v>0</v>
      </c>
      <c r="S254" s="34">
        <v>2.4</v>
      </c>
      <c r="T254" s="34">
        <v>3.8</v>
      </c>
      <c r="U254" s="34">
        <v>4</v>
      </c>
    </row>
    <row r="255" spans="7:22" x14ac:dyDescent="0.2">
      <c r="G255" s="52"/>
      <c r="H255" s="45"/>
      <c r="I255" s="45"/>
      <c r="J255" s="45"/>
      <c r="L255" s="34">
        <v>1.5</v>
      </c>
      <c r="M255" s="34">
        <v>4</v>
      </c>
      <c r="N255" s="34">
        <v>5</v>
      </c>
      <c r="O255" s="34">
        <v>1.9</v>
      </c>
      <c r="P255" s="34">
        <v>3.8</v>
      </c>
      <c r="Q255" s="34">
        <v>5</v>
      </c>
      <c r="R255" s="34">
        <v>2.4</v>
      </c>
      <c r="S255" s="34">
        <v>3.8</v>
      </c>
      <c r="T255" s="34">
        <v>5</v>
      </c>
      <c r="U255" s="34">
        <v>5</v>
      </c>
    </row>
    <row r="256" spans="7:22" x14ac:dyDescent="0.2">
      <c r="G256" s="52"/>
      <c r="H256" s="45"/>
      <c r="I256" s="45"/>
      <c r="J256" s="45"/>
      <c r="L256" s="34"/>
      <c r="M256" s="34">
        <v>46</v>
      </c>
      <c r="N256" s="34">
        <v>46</v>
      </c>
      <c r="O256" s="34">
        <v>38</v>
      </c>
      <c r="P256" s="34">
        <v>38</v>
      </c>
      <c r="Q256" s="34">
        <v>41</v>
      </c>
      <c r="R256" s="34">
        <v>25</v>
      </c>
      <c r="S256" s="34">
        <v>25</v>
      </c>
      <c r="T256" s="34">
        <v>25</v>
      </c>
      <c r="U256" s="34">
        <v>57</v>
      </c>
    </row>
    <row r="257" spans="7:33" x14ac:dyDescent="0.2">
      <c r="G257" s="52"/>
      <c r="H257" s="45"/>
      <c r="I257" s="45"/>
      <c r="J257" s="45"/>
      <c r="L257" s="34">
        <v>38</v>
      </c>
      <c r="M257" s="34">
        <v>38</v>
      </c>
      <c r="N257" s="34">
        <v>41</v>
      </c>
      <c r="O257" s="34">
        <v>25</v>
      </c>
      <c r="P257" s="34">
        <v>25</v>
      </c>
      <c r="Q257" s="34">
        <v>25</v>
      </c>
      <c r="R257" s="34">
        <v>3</v>
      </c>
      <c r="S257" s="34">
        <v>3</v>
      </c>
      <c r="T257" s="34">
        <v>3</v>
      </c>
      <c r="U257" s="58">
        <v>46</v>
      </c>
    </row>
    <row r="258" spans="7:33" x14ac:dyDescent="0.2">
      <c r="G258" s="52"/>
      <c r="H258" s="45"/>
      <c r="I258" s="34">
        <f>SUM(L258:T258)</f>
        <v>0</v>
      </c>
      <c r="J258" s="45"/>
      <c r="K258" s="37">
        <f>ABS($D$22-K254)+$D$39+$D$40+$D$41</f>
        <v>7</v>
      </c>
      <c r="L258" s="37">
        <f>IF(K258=0,IF($D$13&lt;L255,IF($D$7&gt;=L257,1,0),0),0)</f>
        <v>0</v>
      </c>
      <c r="M258" s="37">
        <f t="shared" ref="M258:P258" si="164">IF($K258=0,IF(AND($D$13&gt;=M254,$D$13&lt;M255),IF(AND($D$7&lt;M256,$D$7&gt;=M257),1,0),0),0)</f>
        <v>0</v>
      </c>
      <c r="N258" s="37">
        <f t="shared" si="164"/>
        <v>0</v>
      </c>
      <c r="O258" s="37">
        <f t="shared" si="164"/>
        <v>0</v>
      </c>
      <c r="P258" s="37">
        <f t="shared" si="164"/>
        <v>0</v>
      </c>
      <c r="Q258" s="37">
        <f>IF($K258+M258=0,IF(AND($D$13&gt;=Q254,$D$13&lt;Q255),IF(AND($D$7&lt;Q256,$D$7&gt;=Q257),1,0),0),0)</f>
        <v>0</v>
      </c>
      <c r="R258" s="37">
        <f t="shared" ref="R258:T258" si="165">IF($K258=0,IF(AND($D$13&gt;=R254,$D$13&lt;R255),IF(AND($D$7&lt;R256,$D$7&gt;=R257),1,0),0),0)</f>
        <v>0</v>
      </c>
      <c r="S258" s="37">
        <f t="shared" si="165"/>
        <v>0</v>
      </c>
      <c r="T258" s="37">
        <f t="shared" si="165"/>
        <v>0</v>
      </c>
      <c r="U258" s="37">
        <f>IF($K258=0,IF(AND($D$13&gt;=U254,$D$13&lt;U255),IF(AND($D$7&lt;U256,$D$7&gt;=U257),1,0),0),0)</f>
        <v>0</v>
      </c>
    </row>
    <row r="259" spans="7:33" x14ac:dyDescent="0.2">
      <c r="G259" s="52"/>
      <c r="H259" s="45"/>
      <c r="I259" s="45" t="str">
        <f>L259&amp;M259&amp;N259&amp;O259&amp;P259&amp;Q259&amp;R259&amp;S259&amp;T259&amp;U259</f>
        <v/>
      </c>
      <c r="J259" s="45"/>
      <c r="L259" s="37" t="str">
        <f t="shared" ref="L259" si="166">IF(L258=1,L260,"")</f>
        <v/>
      </c>
      <c r="M259" s="37" t="str">
        <f t="shared" ref="M259" si="167">IF(M258=1,M260,"")</f>
        <v/>
      </c>
      <c r="N259" s="37" t="str">
        <f t="shared" ref="N259" si="168">IF(N258=1,N260,"")</f>
        <v/>
      </c>
      <c r="O259" s="37" t="str">
        <f t="shared" ref="O259" si="169">IF(O258=1,O260,"")</f>
        <v/>
      </c>
      <c r="P259" s="37" t="str">
        <f t="shared" ref="P259" si="170">IF(P258=1,P260,"")</f>
        <v/>
      </c>
      <c r="Q259" s="37" t="str">
        <f t="shared" ref="Q259" si="171">IF(Q258=1,Q260,"")</f>
        <v/>
      </c>
      <c r="R259" s="37" t="str">
        <f t="shared" ref="R259" si="172">IF(R258=1,R260,"")</f>
        <v/>
      </c>
      <c r="S259" s="37" t="str">
        <f t="shared" ref="S259" si="173">IF(S258=1,S260,"")</f>
        <v/>
      </c>
      <c r="T259" s="37" t="str">
        <f t="shared" ref="T259:U259" si="174">IF(T258=1,T260,"")</f>
        <v/>
      </c>
      <c r="U259" s="37" t="str">
        <f t="shared" si="174"/>
        <v/>
      </c>
    </row>
    <row r="260" spans="7:33" ht="39.950000000000003" customHeight="1" x14ac:dyDescent="0.2">
      <c r="G260" s="52"/>
      <c r="H260" s="45"/>
      <c r="I260" s="45"/>
      <c r="J260" s="45"/>
      <c r="L260" s="59" t="s">
        <v>111</v>
      </c>
      <c r="M260" s="59" t="s">
        <v>119</v>
      </c>
      <c r="N260" s="59" t="s">
        <v>155</v>
      </c>
      <c r="O260" s="59" t="s">
        <v>120</v>
      </c>
      <c r="P260" s="59" t="s">
        <v>121</v>
      </c>
      <c r="Q260" s="59" t="s">
        <v>122</v>
      </c>
      <c r="R260" s="59" t="s">
        <v>123</v>
      </c>
      <c r="S260" s="59" t="s">
        <v>124</v>
      </c>
      <c r="T260" s="59" t="s">
        <v>125</v>
      </c>
      <c r="U260" s="59" t="s">
        <v>229</v>
      </c>
    </row>
    <row r="261" spans="7:33" x14ac:dyDescent="0.2">
      <c r="G261" s="52"/>
      <c r="H261" s="45"/>
      <c r="I261" s="45"/>
      <c r="J261" s="45"/>
      <c r="K261" s="34">
        <v>23</v>
      </c>
      <c r="L261" s="34"/>
      <c r="M261" s="34">
        <v>0</v>
      </c>
      <c r="N261" s="34">
        <v>2</v>
      </c>
      <c r="O261" s="34">
        <v>5</v>
      </c>
      <c r="P261" s="34">
        <v>0</v>
      </c>
      <c r="Q261" s="34">
        <v>2.5</v>
      </c>
      <c r="R261" s="34">
        <v>6</v>
      </c>
    </row>
    <row r="262" spans="7:33" x14ac:dyDescent="0.2">
      <c r="G262" s="52"/>
      <c r="H262" s="45"/>
      <c r="I262" s="45"/>
      <c r="J262" s="45"/>
      <c r="L262" s="34">
        <v>4</v>
      </c>
      <c r="M262" s="34">
        <v>2</v>
      </c>
      <c r="N262" s="34">
        <v>5</v>
      </c>
      <c r="O262" s="34">
        <v>8</v>
      </c>
      <c r="P262" s="34">
        <v>2.5</v>
      </c>
      <c r="Q262" s="34">
        <v>6</v>
      </c>
      <c r="R262" s="34">
        <v>8</v>
      </c>
    </row>
    <row r="263" spans="7:33" x14ac:dyDescent="0.2">
      <c r="G263" s="52"/>
      <c r="H263" s="45"/>
      <c r="I263" s="45"/>
      <c r="J263" s="45"/>
      <c r="L263" s="34"/>
      <c r="M263" s="34">
        <v>41</v>
      </c>
      <c r="N263" s="34">
        <v>38</v>
      </c>
      <c r="O263" s="34">
        <v>27</v>
      </c>
      <c r="P263" s="34">
        <v>27</v>
      </c>
      <c r="Q263" s="34">
        <v>20</v>
      </c>
      <c r="R263" s="34">
        <v>15</v>
      </c>
    </row>
    <row r="264" spans="7:33" x14ac:dyDescent="0.2">
      <c r="G264" s="52"/>
      <c r="H264" s="45"/>
      <c r="I264" s="45"/>
      <c r="J264" s="45"/>
      <c r="L264" s="34">
        <v>38</v>
      </c>
      <c r="M264" s="34">
        <v>27</v>
      </c>
      <c r="N264" s="34">
        <v>20</v>
      </c>
      <c r="O264" s="34">
        <v>15</v>
      </c>
      <c r="P264" s="34">
        <v>3</v>
      </c>
      <c r="Q264" s="34">
        <v>3</v>
      </c>
      <c r="R264" s="58">
        <v>3</v>
      </c>
    </row>
    <row r="265" spans="7:33" x14ac:dyDescent="0.2">
      <c r="G265" s="52"/>
      <c r="H265" s="45"/>
      <c r="I265" s="34">
        <f>SUM(L265:R265)</f>
        <v>0</v>
      </c>
      <c r="J265" s="45"/>
      <c r="K265" s="37">
        <f>ABS($D$22-K261)+$D$39+$D$40+$D$41</f>
        <v>8</v>
      </c>
      <c r="L265" s="37">
        <f>IF(K265=0,IF($D$13&lt;L262,IF($D$7&gt;=L264,1,0),0),0)</f>
        <v>0</v>
      </c>
      <c r="M265" s="37">
        <f>IF($K265=0,IF(AND($D$13&gt;=M261,$D$13&lt;M262),IF(AND($D$7&lt;M263,$D$7&gt;=M264),1,0),0),0)</f>
        <v>0</v>
      </c>
      <c r="N265" s="37">
        <f>IF($K265+P265=0,IF(AND($D$13&gt;=N261,$D$13&lt;N262),IF(AND($D$7&lt;N263,$D$7&gt;=N264),1,0),0),0)</f>
        <v>0</v>
      </c>
      <c r="O265" s="37">
        <f t="shared" ref="O265:P265" si="175">IF($K265=0,IF(AND($D$13&gt;=O261,$D$13&lt;O262),IF(AND($D$7&lt;O263,$D$7&gt;=O264),1,0),0),0)</f>
        <v>0</v>
      </c>
      <c r="P265" s="37">
        <f t="shared" si="175"/>
        <v>0</v>
      </c>
      <c r="Q265" s="37">
        <f>IF($K265+O265=0,IF(AND($D$13&gt;=Q261,$D$13&lt;Q262),IF(AND($D$7&lt;Q263,$D$7&gt;=Q264),1,0),0),0)</f>
        <v>0</v>
      </c>
      <c r="R265" s="37">
        <f>IF($K265=0,IF(AND($D$13&gt;=R261,$D$13&lt;R262),IF(AND($D$7&lt;R263,$D$7&gt;=R264),1,0),0),0)</f>
        <v>0</v>
      </c>
      <c r="AG265" s="44"/>
    </row>
    <row r="266" spans="7:33" x14ac:dyDescent="0.2">
      <c r="G266" s="52"/>
      <c r="H266" s="45"/>
      <c r="I266" s="45" t="str">
        <f>L266&amp;M266&amp;N266&amp;O266&amp;P266&amp;Q266&amp;R266</f>
        <v/>
      </c>
      <c r="J266" s="45"/>
      <c r="L266" s="37" t="str">
        <f t="shared" ref="L266" si="176">IF(L265=1,L267,"")</f>
        <v/>
      </c>
      <c r="M266" s="37" t="str">
        <f t="shared" ref="M266" si="177">IF(M265=1,M267,"")</f>
        <v/>
      </c>
      <c r="N266" s="37" t="str">
        <f t="shared" ref="N266" si="178">IF(N265=1,N267,"")</f>
        <v/>
      </c>
      <c r="O266" s="37" t="str">
        <f t="shared" ref="O266" si="179">IF(O265=1,O267,"")</f>
        <v/>
      </c>
      <c r="P266" s="37" t="str">
        <f t="shared" ref="P266" si="180">IF(P265=1,P267,"")</f>
        <v/>
      </c>
      <c r="Q266" s="37" t="str">
        <f t="shared" ref="Q266" si="181">IF(Q265=1,Q267,"")</f>
        <v/>
      </c>
      <c r="R266" s="37" t="str">
        <f t="shared" ref="R266" si="182">IF(R265=1,R267,"")</f>
        <v/>
      </c>
      <c r="AG266" s="44"/>
    </row>
    <row r="267" spans="7:33" ht="39.950000000000003" customHeight="1" x14ac:dyDescent="0.2">
      <c r="G267" s="52"/>
      <c r="H267" s="45"/>
      <c r="I267" s="45"/>
      <c r="J267" s="45"/>
      <c r="L267" s="59" t="s">
        <v>126</v>
      </c>
      <c r="M267" s="59" t="s">
        <v>127</v>
      </c>
      <c r="N267" s="59" t="s">
        <v>128</v>
      </c>
      <c r="O267" s="59" t="s">
        <v>159</v>
      </c>
      <c r="P267" s="59" t="s">
        <v>129</v>
      </c>
      <c r="Q267" s="59" t="s">
        <v>130</v>
      </c>
      <c r="R267" s="59" t="s">
        <v>158</v>
      </c>
    </row>
    <row r="268" spans="7:33" x14ac:dyDescent="0.2">
      <c r="G268" s="52"/>
      <c r="H268" s="45"/>
      <c r="I268" s="45"/>
      <c r="J268" s="45"/>
      <c r="K268" s="34">
        <v>24</v>
      </c>
      <c r="L268" s="34"/>
      <c r="M268" s="34">
        <v>0</v>
      </c>
      <c r="N268" s="34">
        <v>2.1</v>
      </c>
      <c r="O268" s="34">
        <v>5</v>
      </c>
      <c r="P268" s="34">
        <v>5</v>
      </c>
      <c r="Q268" s="34">
        <v>0</v>
      </c>
      <c r="R268" s="34">
        <v>2.5</v>
      </c>
      <c r="S268" s="34">
        <v>6</v>
      </c>
    </row>
    <row r="269" spans="7:33" x14ac:dyDescent="0.2">
      <c r="G269" s="52"/>
      <c r="H269" s="45"/>
      <c r="I269" s="45"/>
      <c r="J269" s="45"/>
      <c r="L269" s="34">
        <v>4</v>
      </c>
      <c r="M269" s="34">
        <v>2.1</v>
      </c>
      <c r="N269" s="34">
        <v>5</v>
      </c>
      <c r="O269" s="34">
        <v>8</v>
      </c>
      <c r="P269" s="34">
        <v>8</v>
      </c>
      <c r="Q269" s="34">
        <v>2.5</v>
      </c>
      <c r="R269" s="34">
        <v>6</v>
      </c>
      <c r="S269" s="34">
        <v>8</v>
      </c>
    </row>
    <row r="270" spans="7:33" x14ac:dyDescent="0.2">
      <c r="G270" s="52"/>
      <c r="H270" s="45"/>
      <c r="I270" s="45"/>
      <c r="J270" s="45"/>
      <c r="L270" s="34"/>
      <c r="M270" s="34">
        <v>41</v>
      </c>
      <c r="N270" s="34">
        <v>38</v>
      </c>
      <c r="O270" s="34">
        <v>34</v>
      </c>
      <c r="P270" s="34">
        <v>27</v>
      </c>
      <c r="Q270" s="34">
        <v>27</v>
      </c>
      <c r="R270" s="34">
        <v>20</v>
      </c>
      <c r="S270" s="34">
        <v>15</v>
      </c>
    </row>
    <row r="271" spans="7:33" x14ac:dyDescent="0.2">
      <c r="G271" s="52"/>
      <c r="H271" s="45"/>
      <c r="I271" s="45"/>
      <c r="J271" s="45"/>
      <c r="L271" s="34">
        <v>38</v>
      </c>
      <c r="M271" s="34">
        <v>27</v>
      </c>
      <c r="N271" s="34">
        <v>20</v>
      </c>
      <c r="O271" s="34">
        <v>27</v>
      </c>
      <c r="P271" s="34">
        <v>15</v>
      </c>
      <c r="Q271" s="34">
        <v>3</v>
      </c>
      <c r="R271" s="34">
        <v>3</v>
      </c>
      <c r="S271" s="58">
        <v>3</v>
      </c>
    </row>
    <row r="272" spans="7:33" x14ac:dyDescent="0.2">
      <c r="G272" s="52"/>
      <c r="H272" s="45"/>
      <c r="I272" s="34">
        <f>SUM(L272:S272)</f>
        <v>0</v>
      </c>
      <c r="J272" s="45"/>
      <c r="K272" s="37">
        <f>ABS($D$22-K268)+$D$39+$D$40+$D$41</f>
        <v>9</v>
      </c>
      <c r="L272" s="37">
        <f>IF(K272+M272=0,IF($D$13&lt;L269,IF($D$7&gt;=L271,1,0),0),0)</f>
        <v>0</v>
      </c>
      <c r="M272" s="37">
        <f>IF($K272=0,IF(AND($D$13&gt;=M268,$D$13&lt;M269),IF(AND($D$7&lt;M270,$D$7&gt;=M271),1,0),0),0)</f>
        <v>0</v>
      </c>
      <c r="N272" s="37">
        <f>IF($K272+Q272=0,IF(AND($D$13&gt;=N268,$D$13&lt;N269),IF(AND($D$7&lt;N270,$D$7&gt;=N271),1,0),0),0)</f>
        <v>0</v>
      </c>
      <c r="O272" s="37">
        <f t="shared" ref="O272:Q272" si="183">IF($K272=0,IF(AND($D$13&gt;=O268,$D$13&lt;O269),IF(AND($D$7&lt;O270,$D$7&gt;=O271),1,0),0),0)</f>
        <v>0</v>
      </c>
      <c r="P272" s="37">
        <f t="shared" si="183"/>
        <v>0</v>
      </c>
      <c r="Q272" s="37">
        <f t="shared" si="183"/>
        <v>0</v>
      </c>
      <c r="R272" s="37">
        <f>IF($K272+P272=0,IF(AND($D$13&gt;=R268,$D$13&lt;R269),IF(AND($D$7&lt;R270,$D$7&gt;=R271),1,0),0),0)</f>
        <v>0</v>
      </c>
      <c r="S272" s="37">
        <f>IF($K272=0,IF(AND($D$13&gt;=S268,$D$13&lt;S269),IF(AND($D$7&lt;S270,$D$7&gt;=S271),1,0),0),0)</f>
        <v>0</v>
      </c>
    </row>
    <row r="273" spans="7:19" x14ac:dyDescent="0.2">
      <c r="G273" s="52"/>
      <c r="H273" s="45"/>
      <c r="I273" s="45" t="str">
        <f>L273&amp;M273&amp;N273&amp;O273&amp;P273&amp;Q273&amp;R273&amp;S273</f>
        <v/>
      </c>
      <c r="J273" s="45"/>
      <c r="L273" s="37" t="str">
        <f t="shared" ref="L273" si="184">IF(L272=1,L274,"")</f>
        <v/>
      </c>
      <c r="M273" s="37" t="str">
        <f t="shared" ref="M273" si="185">IF(M272=1,M274,"")</f>
        <v/>
      </c>
      <c r="N273" s="37" t="str">
        <f t="shared" ref="N273" si="186">IF(N272=1,N274,"")</f>
        <v/>
      </c>
      <c r="O273" s="37" t="str">
        <f t="shared" ref="O273" si="187">IF(O272=1,O274,"")</f>
        <v/>
      </c>
      <c r="P273" s="37" t="str">
        <f t="shared" ref="P273" si="188">IF(P272=1,P274,"")</f>
        <v/>
      </c>
      <c r="Q273" s="37" t="str">
        <f t="shared" ref="Q273" si="189">IF(Q272=1,Q274,"")</f>
        <v/>
      </c>
      <c r="R273" s="37" t="str">
        <f t="shared" ref="R273:S273" si="190">IF(R272=1,R274,"")</f>
        <v/>
      </c>
      <c r="S273" s="37" t="str">
        <f t="shared" si="190"/>
        <v/>
      </c>
    </row>
    <row r="274" spans="7:19" ht="39.950000000000003" customHeight="1" x14ac:dyDescent="0.2">
      <c r="G274" s="52"/>
      <c r="H274" s="45"/>
      <c r="I274" s="45"/>
      <c r="J274" s="45"/>
      <c r="L274" s="59" t="s">
        <v>126</v>
      </c>
      <c r="M274" s="59" t="s">
        <v>127</v>
      </c>
      <c r="N274" s="59" t="s">
        <v>128</v>
      </c>
      <c r="O274" s="59" t="s">
        <v>196</v>
      </c>
      <c r="P274" s="59" t="s">
        <v>132</v>
      </c>
      <c r="Q274" s="59" t="s">
        <v>129</v>
      </c>
      <c r="R274" s="59" t="s">
        <v>130</v>
      </c>
      <c r="S274" s="59" t="s">
        <v>131</v>
      </c>
    </row>
    <row r="275" spans="7:19" x14ac:dyDescent="0.2">
      <c r="G275" s="52"/>
      <c r="H275" s="45"/>
      <c r="I275" s="45"/>
      <c r="J275" s="45"/>
      <c r="K275" s="34">
        <v>25</v>
      </c>
      <c r="L275" s="34"/>
      <c r="M275" s="34">
        <v>0</v>
      </c>
      <c r="N275" s="34">
        <v>2</v>
      </c>
      <c r="O275" s="34">
        <v>5</v>
      </c>
      <c r="P275" s="34">
        <v>0</v>
      </c>
      <c r="Q275" s="34">
        <v>2.5</v>
      </c>
      <c r="R275" s="34">
        <v>5</v>
      </c>
      <c r="S275" s="34">
        <v>5</v>
      </c>
    </row>
    <row r="276" spans="7:19" x14ac:dyDescent="0.2">
      <c r="G276" s="52"/>
      <c r="H276" s="45"/>
      <c r="I276" s="45"/>
      <c r="J276" s="45"/>
      <c r="L276" s="34">
        <v>4</v>
      </c>
      <c r="M276" s="34">
        <v>2</v>
      </c>
      <c r="N276" s="34">
        <v>5</v>
      </c>
      <c r="O276" s="34">
        <v>8</v>
      </c>
      <c r="P276" s="34">
        <v>2.5</v>
      </c>
      <c r="Q276" s="34">
        <v>5</v>
      </c>
      <c r="R276" s="34">
        <v>8</v>
      </c>
      <c r="S276" s="34">
        <v>8</v>
      </c>
    </row>
    <row r="277" spans="7:19" x14ac:dyDescent="0.2">
      <c r="G277" s="52"/>
      <c r="H277" s="45"/>
      <c r="I277" s="45"/>
      <c r="J277" s="45"/>
      <c r="L277" s="34"/>
      <c r="M277" s="34">
        <v>41</v>
      </c>
      <c r="N277" s="34">
        <v>38</v>
      </c>
      <c r="O277" s="34">
        <v>27</v>
      </c>
      <c r="P277" s="34">
        <v>27</v>
      </c>
      <c r="Q277" s="34">
        <v>20</v>
      </c>
      <c r="R277" s="34">
        <v>15</v>
      </c>
      <c r="S277" s="34">
        <v>32</v>
      </c>
    </row>
    <row r="278" spans="7:19" x14ac:dyDescent="0.2">
      <c r="G278" s="52"/>
      <c r="H278" s="45"/>
      <c r="I278" s="45"/>
      <c r="J278" s="45"/>
      <c r="L278" s="34">
        <v>38</v>
      </c>
      <c r="M278" s="34">
        <v>27</v>
      </c>
      <c r="N278" s="34">
        <v>20</v>
      </c>
      <c r="O278" s="34">
        <v>15</v>
      </c>
      <c r="P278" s="34">
        <v>3</v>
      </c>
      <c r="Q278" s="34">
        <v>3</v>
      </c>
      <c r="R278" s="34">
        <v>3</v>
      </c>
      <c r="S278" s="58">
        <v>27</v>
      </c>
    </row>
    <row r="279" spans="7:19" x14ac:dyDescent="0.2">
      <c r="G279" s="52"/>
      <c r="H279" s="45"/>
      <c r="I279" s="34">
        <f>SUM(L279:S279)</f>
        <v>0</v>
      </c>
      <c r="J279" s="45"/>
      <c r="K279" s="37">
        <f>ABS($D$22-K275)+$D$39+$D$40+$D$41</f>
        <v>10</v>
      </c>
      <c r="L279" s="37">
        <f>IF(K279+M279=0,IF($D$13&lt;L276,IF($D$7&gt;=L278,1,0),0),0)</f>
        <v>0</v>
      </c>
      <c r="M279" s="37">
        <f>IF($K279=0,IF(AND($D$13&gt;=M275,$D$13&lt;M276),IF(AND($D$7&lt;M277,$D$7&gt;=M278),1,0),0),0)</f>
        <v>0</v>
      </c>
      <c r="N279" s="37">
        <f>IF($K279+P279=0,IF(AND($D$13&gt;=N275,$D$13&lt;N276),IF(AND($D$7&lt;N277,$D$7&gt;=N278),1,0),0),0)</f>
        <v>0</v>
      </c>
      <c r="O279" s="37">
        <f t="shared" ref="O279:S279" si="191">IF($K279=0,IF(AND($D$13&gt;=O275,$D$13&lt;O276),IF(AND($D$7&lt;O277,$D$7&gt;=O278),1,0),0),0)</f>
        <v>0</v>
      </c>
      <c r="P279" s="37">
        <f t="shared" si="191"/>
        <v>0</v>
      </c>
      <c r="Q279" s="37">
        <f t="shared" si="191"/>
        <v>0</v>
      </c>
      <c r="R279" s="37">
        <f t="shared" si="191"/>
        <v>0</v>
      </c>
      <c r="S279" s="37">
        <f t="shared" si="191"/>
        <v>0</v>
      </c>
    </row>
    <row r="280" spans="7:19" x14ac:dyDescent="0.2">
      <c r="G280" s="52"/>
      <c r="H280" s="45"/>
      <c r="I280" s="45" t="str">
        <f>L280&amp;M280&amp;N280&amp;O280&amp;P280&amp;Q280&amp;R280&amp;S280</f>
        <v/>
      </c>
      <c r="J280" s="45"/>
      <c r="L280" s="37" t="str">
        <f t="shared" ref="L280" si="192">IF(L279=1,L281,"")</f>
        <v/>
      </c>
      <c r="M280" s="37" t="str">
        <f t="shared" ref="M280" si="193">IF(M279=1,M281,"")</f>
        <v/>
      </c>
      <c r="N280" s="37" t="str">
        <f t="shared" ref="N280" si="194">IF(N279=1,N281,"")</f>
        <v/>
      </c>
      <c r="O280" s="37" t="str">
        <f>IF(O279=1,O281,"")</f>
        <v/>
      </c>
      <c r="P280" s="37" t="str">
        <f>IF(P279=1,P281,"")</f>
        <v/>
      </c>
      <c r="Q280" s="37" t="str">
        <f>IF(Q279=1,Q281,"")</f>
        <v/>
      </c>
      <c r="R280" s="37" t="str">
        <f>IF(R279=1,R281,"")</f>
        <v/>
      </c>
      <c r="S280" s="37" t="str">
        <f>IF(S279=1,S281,"")</f>
        <v/>
      </c>
    </row>
    <row r="281" spans="7:19" ht="39.950000000000003" customHeight="1" x14ac:dyDescent="0.2">
      <c r="G281" s="52"/>
      <c r="H281" s="45"/>
      <c r="I281" s="45"/>
      <c r="J281" s="45"/>
      <c r="L281" s="59" t="s">
        <v>135</v>
      </c>
      <c r="M281" s="59" t="s">
        <v>136</v>
      </c>
      <c r="N281" s="59" t="s">
        <v>137</v>
      </c>
      <c r="O281" s="59" t="s">
        <v>133</v>
      </c>
      <c r="P281" s="59" t="s">
        <v>138</v>
      </c>
      <c r="Q281" s="59" t="s">
        <v>139</v>
      </c>
      <c r="R281" s="59" t="s">
        <v>134</v>
      </c>
      <c r="S281" s="59" t="s">
        <v>196</v>
      </c>
    </row>
    <row r="282" spans="7:19" x14ac:dyDescent="0.2">
      <c r="G282" s="52"/>
      <c r="H282" s="45"/>
      <c r="I282" s="45"/>
      <c r="J282" s="45"/>
      <c r="K282" s="34">
        <v>26</v>
      </c>
      <c r="L282" s="34"/>
      <c r="M282" s="34">
        <v>0</v>
      </c>
      <c r="N282" s="34">
        <v>1.8</v>
      </c>
      <c r="O282" s="34">
        <v>0</v>
      </c>
      <c r="P282" s="34">
        <v>2.2999999999999998</v>
      </c>
    </row>
    <row r="283" spans="7:19" x14ac:dyDescent="0.2">
      <c r="G283" s="52"/>
      <c r="H283" s="45"/>
      <c r="I283" s="45"/>
      <c r="J283" s="45"/>
      <c r="L283" s="34">
        <v>4</v>
      </c>
      <c r="M283" s="34">
        <v>1.8</v>
      </c>
      <c r="N283" s="34">
        <v>4</v>
      </c>
      <c r="O283" s="34">
        <v>2.2999999999999998</v>
      </c>
      <c r="P283" s="34">
        <v>4</v>
      </c>
    </row>
    <row r="284" spans="7:19" x14ac:dyDescent="0.2">
      <c r="G284" s="52"/>
      <c r="H284" s="45"/>
      <c r="I284" s="45"/>
      <c r="J284" s="45"/>
      <c r="L284" s="34"/>
      <c r="M284" s="34">
        <v>41</v>
      </c>
      <c r="N284" s="34">
        <v>38</v>
      </c>
      <c r="O284" s="34">
        <v>27</v>
      </c>
      <c r="P284" s="34">
        <v>20</v>
      </c>
    </row>
    <row r="285" spans="7:19" x14ac:dyDescent="0.2">
      <c r="G285" s="52"/>
      <c r="H285" s="45"/>
      <c r="I285" s="45"/>
      <c r="J285" s="45"/>
      <c r="L285" s="34">
        <v>38</v>
      </c>
      <c r="M285" s="34">
        <v>27</v>
      </c>
      <c r="N285" s="34">
        <v>20</v>
      </c>
      <c r="O285" s="34">
        <v>3</v>
      </c>
      <c r="P285" s="58">
        <v>3</v>
      </c>
    </row>
    <row r="286" spans="7:19" x14ac:dyDescent="0.2">
      <c r="G286" s="52"/>
      <c r="H286" s="45"/>
      <c r="I286" s="34">
        <f>SUM(L286:P286)</f>
        <v>0</v>
      </c>
      <c r="J286" s="45"/>
      <c r="K286" s="37">
        <f>ABS($D$22-K282)+$D$39+$D$40+$D$41</f>
        <v>11</v>
      </c>
      <c r="L286" s="37">
        <f>IF(K286+M286=0,IF($D$13&lt;L283,IF($D$7&gt;=L285,1,0),0),0)</f>
        <v>0</v>
      </c>
      <c r="M286" s="37">
        <f>IF($K286=0,IF(AND($D$13&gt;=M282,$D$13&lt;M283),IF(AND($D$7&lt;M284,$D$7&gt;=M285),1,0),0),0)</f>
        <v>0</v>
      </c>
      <c r="N286" s="37">
        <f>IF($K286+O286=0,IF(AND($D$13&gt;=N282,$D$13&lt;N283),IF(AND($D$7&lt;N284,$D$7&gt;=N285),1,0),0),0)</f>
        <v>0</v>
      </c>
      <c r="O286" s="37">
        <f t="shared" ref="O286:P286" si="195">IF($K286=0,IF(AND($D$13&gt;=O282,$D$13&lt;O283),IF(AND($D$7&lt;O284,$D$7&gt;=O285),1,0),0),0)</f>
        <v>0</v>
      </c>
      <c r="P286" s="37">
        <f t="shared" si="195"/>
        <v>0</v>
      </c>
    </row>
    <row r="287" spans="7:19" x14ac:dyDescent="0.2">
      <c r="G287" s="52"/>
      <c r="H287" s="45"/>
      <c r="I287" s="45" t="str">
        <f>L287&amp;M287&amp;N287&amp;O287&amp;P287</f>
        <v/>
      </c>
      <c r="J287" s="45"/>
      <c r="L287" s="37" t="str">
        <f t="shared" ref="L287" si="196">IF(L286=1,L288,"")</f>
        <v/>
      </c>
      <c r="M287" s="37" t="str">
        <f t="shared" ref="M287" si="197">IF(M286=1,M288,"")</f>
        <v/>
      </c>
      <c r="N287" s="37" t="str">
        <f t="shared" ref="N287" si="198">IF(N286=1,N288,"")</f>
        <v/>
      </c>
      <c r="O287" s="37" t="str">
        <f t="shared" ref="O287" si="199">IF(O286=1,O288,"")</f>
        <v/>
      </c>
      <c r="P287" s="37" t="str">
        <f t="shared" ref="P287" si="200">IF(P286=1,P288,"")</f>
        <v/>
      </c>
    </row>
    <row r="288" spans="7:19" ht="39.950000000000003" customHeight="1" x14ac:dyDescent="0.2">
      <c r="G288" s="52"/>
      <c r="H288" s="45"/>
      <c r="I288" s="45"/>
      <c r="J288" s="45"/>
      <c r="L288" s="59" t="s">
        <v>135</v>
      </c>
      <c r="M288" s="59" t="s">
        <v>136</v>
      </c>
      <c r="N288" s="59" t="s">
        <v>137</v>
      </c>
      <c r="O288" s="59" t="s">
        <v>138</v>
      </c>
      <c r="P288" s="59" t="s">
        <v>139</v>
      </c>
    </row>
    <row r="289" spans="7:7" x14ac:dyDescent="0.2">
      <c r="G289" s="52"/>
    </row>
    <row r="290" spans="7:7" x14ac:dyDescent="0.2">
      <c r="G290" s="52"/>
    </row>
    <row r="291" spans="7:7" x14ac:dyDescent="0.2">
      <c r="G291" s="52"/>
    </row>
  </sheetData>
  <sheetProtection password="F4FC" sheet="1" objects="1" scenarios="1" selectLockedCells="1" selectUnlockedCells="1"/>
  <sortState ref="A31:B391">
    <sortCondition ref="A31:A391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8"/>
  <sheetViews>
    <sheetView workbookViewId="0">
      <selection sqref="A1:XFD1048576"/>
    </sheetView>
  </sheetViews>
  <sheetFormatPr baseColWidth="10" defaultRowHeight="15" x14ac:dyDescent="0.25"/>
  <cols>
    <col min="1" max="17" width="11.42578125" style="17"/>
    <col min="18" max="18" width="13" style="17" customWidth="1"/>
    <col min="19" max="16384" width="11.42578125" style="17"/>
  </cols>
  <sheetData>
    <row r="1" spans="1:25" x14ac:dyDescent="0.25">
      <c r="A1" s="17" t="s">
        <v>222</v>
      </c>
      <c r="Q1" s="28"/>
      <c r="V1" s="28"/>
      <c r="W1" s="28"/>
      <c r="X1" s="28"/>
      <c r="Y1" s="28"/>
    </row>
    <row r="2" spans="1:25" ht="15.75" x14ac:dyDescent="0.25">
      <c r="E2" s="61"/>
      <c r="G2" s="25"/>
      <c r="M2" s="61"/>
      <c r="V2" s="28"/>
      <c r="W2" s="28"/>
      <c r="X2" s="28"/>
      <c r="Y2" s="28"/>
    </row>
    <row r="3" spans="1:25" ht="18.75" x14ac:dyDescent="0.3">
      <c r="E3" s="32"/>
      <c r="F3" s="28"/>
      <c r="G3" s="62"/>
      <c r="H3" s="28"/>
      <c r="I3" s="28"/>
      <c r="J3" s="28"/>
      <c r="N3" s="28"/>
      <c r="P3" s="28"/>
      <c r="Q3" s="63"/>
      <c r="V3" s="28"/>
      <c r="W3" s="28"/>
      <c r="X3" s="28"/>
      <c r="Y3" s="28"/>
    </row>
    <row r="4" spans="1:25" x14ac:dyDescent="0.25">
      <c r="F4" s="28"/>
      <c r="H4" s="28"/>
      <c r="I4" s="28"/>
      <c r="J4" s="28"/>
      <c r="M4" s="28"/>
      <c r="N4" s="28"/>
      <c r="O4" s="28"/>
      <c r="P4" s="28"/>
      <c r="V4" s="28"/>
      <c r="W4" s="28"/>
      <c r="X4" s="28"/>
      <c r="Y4" s="28"/>
    </row>
    <row r="5" spans="1:25" ht="15.75" x14ac:dyDescent="0.25">
      <c r="E5" s="28">
        <f>IF('F1'!D65=1,IF('F1'!E60&lt;0,0,IF('F1'!E61&lt;0,0,IF('F1'!E62&lt;0,0,1))),1)</f>
        <v>1</v>
      </c>
      <c r="F5" s="28"/>
      <c r="G5" s="30">
        <f>IF('F1'!D65&gt;2,IF('F1'!E60*(100.0001-'F1'!E60)&lt;=0,0,1),1)</f>
        <v>1</v>
      </c>
      <c r="H5" s="28">
        <f>IF(('F1'!D65-4)*('F1'!D65-6)*('F1'!D65-7)=0,IF('F1'!E62*(360-'F1'!E62)&lt;0,0,1),1)</f>
        <v>1</v>
      </c>
      <c r="I5" s="28">
        <f>IF(('F1'!D65-4)*('F1'!D65-6)*('F1'!D65-7)=0,IF('F1'!E61&lt;0,0,1),1)</f>
        <v>1</v>
      </c>
      <c r="J5" s="28"/>
      <c r="K5" s="28"/>
      <c r="L5" s="28">
        <f>E5*G5*H5*I5*M5*N5*O5*P5</f>
        <v>1</v>
      </c>
      <c r="M5" s="28">
        <f>IF('F1'!$Q$62+'F1'!$R$62&gt;1,0,1)</f>
        <v>1</v>
      </c>
      <c r="N5" s="28">
        <f>IF(0.26035*'F1'!$Q$62-0.56058*'F1'!$R$62-0.04255&gt;0,0,1)</f>
        <v>1</v>
      </c>
      <c r="O5" s="28">
        <f>IF('F1'!$Q$62&lt;0,0,1)</f>
        <v>1</v>
      </c>
      <c r="P5" s="28">
        <f>IF('F1'!$R$62+0.24-0.05712/(0.068+'F1'!$Q$62)&lt;0,0,1)</f>
        <v>1</v>
      </c>
      <c r="V5" s="28"/>
      <c r="W5" s="28"/>
      <c r="X5" s="28"/>
      <c r="Y5" s="28"/>
    </row>
    <row r="6" spans="1:25" ht="15.75" x14ac:dyDescent="0.25">
      <c r="D6" s="64"/>
      <c r="F6" s="28"/>
      <c r="G6" s="28"/>
      <c r="H6" s="28"/>
      <c r="N6" s="28"/>
      <c r="O6" s="65"/>
      <c r="Q6" s="65"/>
      <c r="V6" s="28"/>
      <c r="W6" s="28"/>
      <c r="X6" s="28"/>
      <c r="Y6" s="28"/>
    </row>
    <row r="7" spans="1:25" x14ac:dyDescent="0.25">
      <c r="D7" s="29"/>
      <c r="F7" s="28"/>
      <c r="G7" s="28"/>
      <c r="K7" s="28"/>
      <c r="V7" s="28"/>
      <c r="W7" s="28"/>
      <c r="X7" s="28"/>
      <c r="Y7" s="28"/>
    </row>
    <row r="8" spans="1:25" x14ac:dyDescent="0.25">
      <c r="F8" s="28"/>
      <c r="G8" s="28"/>
      <c r="V8" s="28"/>
      <c r="W8" s="28"/>
      <c r="X8" s="28"/>
      <c r="Y8" s="28"/>
    </row>
    <row r="9" spans="1:25" x14ac:dyDescent="0.25">
      <c r="F9" s="26"/>
      <c r="G9" s="26"/>
      <c r="V9" s="28"/>
      <c r="W9" s="28"/>
      <c r="X9" s="28"/>
      <c r="Y9" s="28"/>
    </row>
    <row r="10" spans="1:25" x14ac:dyDescent="0.25">
      <c r="S10" s="28"/>
      <c r="V10" s="28"/>
      <c r="W10" s="28"/>
      <c r="X10" s="28"/>
      <c r="Y10" s="28"/>
    </row>
    <row r="11" spans="1:25" x14ac:dyDescent="0.25">
      <c r="A11" s="66"/>
      <c r="B11" s="67"/>
      <c r="D11" s="68">
        <f>SUM(D12:D377)</f>
        <v>583.6</v>
      </c>
      <c r="E11" s="33">
        <f>SUM(E12:E377)</f>
        <v>0</v>
      </c>
      <c r="G11" s="69"/>
      <c r="H11" s="69"/>
      <c r="I11" s="70"/>
      <c r="L11" s="28">
        <v>1</v>
      </c>
      <c r="R11" s="28">
        <v>1</v>
      </c>
      <c r="S11" s="28">
        <v>51</v>
      </c>
      <c r="T11" s="28">
        <v>-8</v>
      </c>
      <c r="V11" s="28"/>
      <c r="W11" s="28"/>
      <c r="X11" s="28"/>
      <c r="Y11" s="28"/>
    </row>
    <row r="12" spans="1:25" x14ac:dyDescent="0.25">
      <c r="A12" s="71">
        <v>0</v>
      </c>
      <c r="B12" s="72">
        <v>-494.9</v>
      </c>
      <c r="C12" s="17" t="str">
        <f>IF('F2'!D$8=A12,1,IF(('F2'!D$8-A12)*('F2'!D$8-A13)&lt;0,1,""))</f>
        <v/>
      </c>
      <c r="D12" s="68" t="str">
        <f>IF(C12=1,(B12*(A13-'F2'!D$8)+B13*('F2'!D$8-A12))/(A13-A12),"")</f>
        <v/>
      </c>
      <c r="G12" s="73"/>
      <c r="H12" s="73"/>
      <c r="L12" s="74">
        <f>L5*'F1'!U66*'F1'!D16/(13*'F1'!N66)</f>
        <v>0</v>
      </c>
      <c r="M12" s="74">
        <f>L5*'F1'!V66*'F1'!D16/(13*'F1'!N66)</f>
        <v>0</v>
      </c>
      <c r="R12" s="28">
        <v>2</v>
      </c>
      <c r="S12" s="28">
        <v>56</v>
      </c>
      <c r="T12" s="28">
        <v>-10</v>
      </c>
      <c r="V12" s="28"/>
      <c r="W12" s="28"/>
      <c r="X12" s="28"/>
      <c r="Y12" s="28"/>
    </row>
    <row r="13" spans="1:25" x14ac:dyDescent="0.25">
      <c r="A13" s="71">
        <v>1</v>
      </c>
      <c r="B13" s="72">
        <v>-494.6</v>
      </c>
      <c r="C13" s="17" t="str">
        <f>IF('F2'!D$8=A13,1,IF(('F2'!D$8-A13)*('F2'!D$8-A14)&lt;0,1,""))</f>
        <v/>
      </c>
      <c r="D13" s="68" t="str">
        <f>IF(C13=1,(B13*(A14-'F2'!D$8)+B14*('F2'!D$8-A13))/(A14-A13),"")</f>
        <v/>
      </c>
      <c r="G13" s="73">
        <v>5.8799999999999998E-2</v>
      </c>
      <c r="H13" s="73">
        <v>-0.45179999999999998</v>
      </c>
      <c r="I13" s="17">
        <v>0</v>
      </c>
      <c r="J13" s="17">
        <v>0</v>
      </c>
      <c r="L13" s="74">
        <f>IF('F1'!D16=0,0,IF('F2'!D13*L5&gt;9,1,LOG(1+L5*L$11*'F2'!D13)))</f>
        <v>0</v>
      </c>
      <c r="M13" s="33" t="str">
        <f>'F1'!N16</f>
        <v/>
      </c>
      <c r="R13" s="28">
        <v>3</v>
      </c>
      <c r="S13" s="28">
        <v>63</v>
      </c>
      <c r="T13" s="28">
        <v>-4</v>
      </c>
      <c r="V13" s="28"/>
      <c r="W13" s="28"/>
      <c r="X13" s="28"/>
      <c r="Y13" s="28"/>
    </row>
    <row r="14" spans="1:25" x14ac:dyDescent="0.25">
      <c r="A14" s="71">
        <v>2</v>
      </c>
      <c r="B14" s="72">
        <v>-494.2</v>
      </c>
      <c r="C14" s="17" t="str">
        <f>IF('F2'!D$8=A14,1,IF(('F2'!D$8-A14)*('F2'!D$8-A15)&lt;0,1,""))</f>
        <v/>
      </c>
      <c r="D14" s="68" t="str">
        <f>IF(C14=1,(B14*(A15-'F2'!D$8)+B15*('F2'!D$8-A14))/(A15-A14),"")</f>
        <v/>
      </c>
      <c r="G14" s="75">
        <v>5.8599999999999999E-2</v>
      </c>
      <c r="H14" s="75">
        <v>-0.45200000000000001</v>
      </c>
      <c r="I14" s="74">
        <v>-3.4000000000000002E-2</v>
      </c>
      <c r="J14" s="74">
        <v>-0.34799999999999998</v>
      </c>
      <c r="M14" s="70"/>
      <c r="R14" s="28">
        <v>4</v>
      </c>
      <c r="S14" s="28">
        <v>78</v>
      </c>
      <c r="T14" s="28">
        <v>-1</v>
      </c>
      <c r="V14" s="28"/>
      <c r="W14" s="28"/>
      <c r="X14" s="28"/>
      <c r="Y14" s="28"/>
    </row>
    <row r="15" spans="1:25" x14ac:dyDescent="0.25">
      <c r="A15" s="71">
        <v>3</v>
      </c>
      <c r="B15" s="72">
        <v>-493.9</v>
      </c>
      <c r="C15" s="17" t="str">
        <f>IF('F2'!D$8=A15,1,IF(('F2'!D$8-A15)*('F2'!D$8-A16)&lt;0,1,""))</f>
        <v/>
      </c>
      <c r="D15" s="68" t="str">
        <f>IF(C15=1,(B15*(A16-'F2'!D$8)+B16*('F2'!D$8-A15))/(A16-A15),"")</f>
        <v/>
      </c>
      <c r="G15" s="75">
        <v>5.8200000000000002E-2</v>
      </c>
      <c r="H15" s="75">
        <v>-0.45200000000000001</v>
      </c>
      <c r="I15" s="17">
        <v>0</v>
      </c>
      <c r="J15" s="17">
        <v>0</v>
      </c>
      <c r="L15" s="33">
        <f>LOG(1+L$11*0)</f>
        <v>0</v>
      </c>
      <c r="M15" s="17">
        <v>0</v>
      </c>
      <c r="R15" s="28">
        <v>5</v>
      </c>
      <c r="S15" s="28">
        <v>85</v>
      </c>
      <c r="T15" s="28">
        <v>2</v>
      </c>
      <c r="V15" s="28"/>
      <c r="W15" s="28"/>
      <c r="X15" s="28"/>
      <c r="Y15" s="28"/>
    </row>
    <row r="16" spans="1:25" x14ac:dyDescent="0.25">
      <c r="A16" s="71">
        <v>4</v>
      </c>
      <c r="B16" s="72">
        <v>-493.7</v>
      </c>
      <c r="C16" s="17" t="str">
        <f>IF('F2'!D$8=A16,1,IF(('F2'!D$8-A16)*('F2'!D$8-A17)&lt;0,1,""))</f>
        <v/>
      </c>
      <c r="D16" s="68" t="str">
        <f>IF(C16=1,(B16*(A17-'F2'!D$8)+B17*('F2'!D$8-A16))/(A17-A16),"")</f>
        <v/>
      </c>
      <c r="G16" s="75">
        <v>5.79E-2</v>
      </c>
      <c r="H16" s="75">
        <v>-0.45240000000000002</v>
      </c>
      <c r="I16" s="17">
        <v>0</v>
      </c>
      <c r="J16" s="17">
        <v>0</v>
      </c>
      <c r="L16" s="17">
        <v>0</v>
      </c>
      <c r="M16" s="17">
        <v>100</v>
      </c>
      <c r="R16" s="28">
        <v>6</v>
      </c>
      <c r="S16" s="28">
        <v>92</v>
      </c>
      <c r="T16" s="28">
        <v>0</v>
      </c>
      <c r="V16" s="28"/>
      <c r="W16" s="28"/>
      <c r="X16" s="28"/>
      <c r="Y16" s="28"/>
    </row>
    <row r="17" spans="1:25" x14ac:dyDescent="0.25">
      <c r="A17" s="71">
        <v>5</v>
      </c>
      <c r="B17" s="72">
        <v>-493.4</v>
      </c>
      <c r="C17" s="17" t="str">
        <f>IF('F2'!D$8=A17,1,IF(('F2'!D$8-A17)*('F2'!D$8-A18)&lt;0,1,""))</f>
        <v/>
      </c>
      <c r="D17" s="17" t="str">
        <f>IF(C17=1,B17,"")</f>
        <v/>
      </c>
      <c r="G17" s="75">
        <v>5.74E-2</v>
      </c>
      <c r="H17" s="75">
        <v>-0.45250000000000001</v>
      </c>
      <c r="I17" s="74">
        <v>-0.17100000000000001</v>
      </c>
      <c r="J17" s="74">
        <v>-5.5E-2</v>
      </c>
      <c r="R17" s="28">
        <v>7</v>
      </c>
      <c r="S17" s="28">
        <v>94</v>
      </c>
      <c r="T17" s="28">
        <v>0</v>
      </c>
      <c r="V17" s="28"/>
      <c r="W17" s="28"/>
      <c r="X17" s="28"/>
      <c r="Y17" s="28"/>
    </row>
    <row r="18" spans="1:25" x14ac:dyDescent="0.25">
      <c r="A18" s="71">
        <v>5.12</v>
      </c>
      <c r="B18" s="76">
        <v>700</v>
      </c>
      <c r="C18" s="17" t="str">
        <f>IF('F2'!D$8=A18,1,IF(('F2'!D$8-A18)*('F2'!D$8-A19)&lt;0,1,""))</f>
        <v/>
      </c>
      <c r="D18" s="17" t="str">
        <f>IF(C18=1,B18,"")</f>
        <v/>
      </c>
      <c r="E18" s="17" t="str">
        <f>IF(C18=1,2,"")</f>
        <v/>
      </c>
      <c r="G18" s="75">
        <v>5.67E-2</v>
      </c>
      <c r="H18" s="75">
        <v>-0.45240000000000002</v>
      </c>
      <c r="I18" s="17">
        <v>0</v>
      </c>
      <c r="J18" s="17">
        <v>0</v>
      </c>
      <c r="L18" s="74">
        <f>LOG(1+L$11*9)</f>
        <v>1</v>
      </c>
      <c r="M18" s="17">
        <v>94</v>
      </c>
      <c r="R18" s="28">
        <v>8</v>
      </c>
      <c r="S18" s="28">
        <v>95</v>
      </c>
      <c r="T18" s="28">
        <v>0</v>
      </c>
      <c r="V18" s="28"/>
      <c r="W18" s="28"/>
      <c r="X18" s="28"/>
      <c r="Y18" s="28"/>
    </row>
    <row r="19" spans="1:25" x14ac:dyDescent="0.25">
      <c r="A19" s="71">
        <v>5.15</v>
      </c>
      <c r="B19" s="71">
        <v>690</v>
      </c>
      <c r="C19" s="17" t="str">
        <f>IF('F2'!D$8=A19,1,IF(('F2'!D$8-A19)*('F2'!D$8-A20)&lt;0,1,""))</f>
        <v/>
      </c>
      <c r="D19" s="17" t="str">
        <f>IF(C19=1,B19,"")</f>
        <v/>
      </c>
      <c r="E19" s="17" t="str">
        <f>IF(C19=1,5,"")</f>
        <v/>
      </c>
      <c r="G19" s="75">
        <v>5.5800000000000002E-2</v>
      </c>
      <c r="H19" s="75">
        <v>-0.45229999999999998</v>
      </c>
      <c r="I19" s="17">
        <v>0</v>
      </c>
      <c r="J19" s="17">
        <v>0</v>
      </c>
      <c r="L19" s="74">
        <f>LOG(1+L$11*1.2)</f>
        <v>0.34242268082220628</v>
      </c>
      <c r="M19" s="17">
        <v>94</v>
      </c>
      <c r="R19" s="28">
        <v>9</v>
      </c>
      <c r="S19" s="28">
        <v>94.5</v>
      </c>
      <c r="T19" s="28">
        <v>0</v>
      </c>
      <c r="V19" s="28"/>
      <c r="W19" s="28"/>
      <c r="X19" s="28"/>
      <c r="Y19" s="28"/>
    </row>
    <row r="20" spans="1:25" x14ac:dyDescent="0.25">
      <c r="A20" s="71">
        <v>5.2</v>
      </c>
      <c r="B20" s="76">
        <v>680</v>
      </c>
      <c r="C20" s="17" t="str">
        <f>IF('F2'!D$8=A20,1,IF(('F2'!D$8-A20)*('F2'!D$8-A21)&lt;0,1,""))</f>
        <v/>
      </c>
      <c r="D20" s="17" t="str">
        <f>IF(C20=1,(B20*(A21-'F2'!D$8)+B21*('F2'!D$8-A20))/(A21-A20),"")</f>
        <v/>
      </c>
      <c r="E20" s="17" t="str">
        <f>IF(C20=1,1,"")</f>
        <v/>
      </c>
      <c r="G20" s="75">
        <v>5.4399999999999997E-2</v>
      </c>
      <c r="H20" s="75">
        <v>-0.45140000000000002</v>
      </c>
      <c r="I20" s="74">
        <v>0.02</v>
      </c>
      <c r="J20" s="74">
        <v>9.8000000000000004E-2</v>
      </c>
      <c r="L20" s="74">
        <f>LOG(1+L$11*1.2)</f>
        <v>0.34242268082220628</v>
      </c>
      <c r="M20" s="17">
        <v>92</v>
      </c>
      <c r="R20" s="28">
        <v>10</v>
      </c>
      <c r="S20" s="28">
        <v>92.5</v>
      </c>
      <c r="T20" s="28">
        <v>0</v>
      </c>
      <c r="V20" s="28"/>
      <c r="W20" s="28"/>
      <c r="X20" s="28"/>
      <c r="Y20" s="28"/>
    </row>
    <row r="21" spans="1:25" x14ac:dyDescent="0.25">
      <c r="A21" s="71">
        <v>6</v>
      </c>
      <c r="B21" s="77">
        <v>647.9</v>
      </c>
      <c r="C21" s="17" t="str">
        <f>IF('F2'!D$8=A21,1,IF(('F2'!D$8-A21)*('F2'!D$8-A22)&lt;0,1,""))</f>
        <v/>
      </c>
      <c r="D21" s="68" t="str">
        <f>IF(C21=1,(B21*(A22-'F2'!D$8)+B22*('F2'!D$8-A21))/(A22-A21),"")</f>
        <v/>
      </c>
      <c r="G21" s="75">
        <v>5.1799999999999999E-2</v>
      </c>
      <c r="H21" s="75">
        <v>-0.44919999999999999</v>
      </c>
      <c r="I21" s="17">
        <v>0</v>
      </c>
      <c r="J21" s="17">
        <v>0</v>
      </c>
      <c r="L21" s="74">
        <f>LOG(1+L$11*0.5)</f>
        <v>0.17609125905568124</v>
      </c>
      <c r="M21" s="17">
        <v>92</v>
      </c>
      <c r="R21" s="28">
        <v>11</v>
      </c>
      <c r="S21" s="28">
        <v>90.5</v>
      </c>
      <c r="T21" s="28">
        <v>0</v>
      </c>
      <c r="V21" s="28"/>
      <c r="W21" s="28"/>
      <c r="X21" s="28"/>
      <c r="Y21" s="28"/>
    </row>
    <row r="22" spans="1:25" x14ac:dyDescent="0.25">
      <c r="A22" s="71">
        <v>7</v>
      </c>
      <c r="B22" s="77">
        <v>635.29999999999995</v>
      </c>
      <c r="C22" s="17" t="str">
        <f>IF('F2'!D$8=A22,1,IF(('F2'!D$8-A22)*('F2'!D$8-A23)&lt;0,1,""))</f>
        <v/>
      </c>
      <c r="D22" s="68" t="str">
        <f>IF(C22=1,(B22*(A23-'F2'!D$8)+B23*('F2'!D$8-A22))/(A23-A22),"")</f>
        <v/>
      </c>
      <c r="G22" s="75">
        <v>4.8300000000000003E-2</v>
      </c>
      <c r="H22" s="75">
        <v>-0.44569999999999999</v>
      </c>
      <c r="I22" s="17">
        <v>0</v>
      </c>
      <c r="J22" s="17">
        <v>0</v>
      </c>
      <c r="L22" s="74">
        <f>LOG(1+L$11*0.5)</f>
        <v>0.17609125905568124</v>
      </c>
      <c r="M22" s="17">
        <v>89.5</v>
      </c>
      <c r="R22" s="28">
        <v>12</v>
      </c>
      <c r="S22" s="28">
        <v>89</v>
      </c>
      <c r="T22" s="28">
        <v>0</v>
      </c>
      <c r="V22" s="28"/>
      <c r="W22" s="28"/>
      <c r="X22" s="28"/>
      <c r="Y22" s="28"/>
    </row>
    <row r="23" spans="1:25" x14ac:dyDescent="0.25">
      <c r="A23" s="71">
        <v>8</v>
      </c>
      <c r="B23" s="77">
        <v>627.6</v>
      </c>
      <c r="C23" s="17" t="str">
        <f>IF('F2'!D$8=A23,1,IF(('F2'!D$8-A23)*('F2'!D$8-A24)&lt;0,1,""))</f>
        <v/>
      </c>
      <c r="D23" s="68" t="str">
        <f>IF(C23=1,(B23*(A24-'F2'!D$8)+B24*('F2'!D$8-A23))/(A24-A23),"")</f>
        <v/>
      </c>
      <c r="G23" s="75">
        <v>4.3299999999999998E-2</v>
      </c>
      <c r="H23" s="75">
        <v>-0.4405</v>
      </c>
      <c r="I23" s="74">
        <v>9.5000000000000001E-2</v>
      </c>
      <c r="J23" s="74">
        <v>8.8999999999999996E-2</v>
      </c>
      <c r="L23" s="74">
        <f>LOG(1+L$11*0.3)</f>
        <v>0.11394335230683679</v>
      </c>
      <c r="M23" s="17">
        <v>89.5</v>
      </c>
      <c r="R23" s="28">
        <v>13</v>
      </c>
      <c r="S23" s="28">
        <v>85</v>
      </c>
      <c r="T23" s="28">
        <v>1</v>
      </c>
      <c r="V23" s="28"/>
      <c r="W23" s="28"/>
      <c r="X23" s="28"/>
      <c r="Y23" s="28"/>
    </row>
    <row r="24" spans="1:25" x14ac:dyDescent="0.25">
      <c r="A24" s="71">
        <v>9</v>
      </c>
      <c r="B24" s="77">
        <v>622</v>
      </c>
      <c r="C24" s="17" t="str">
        <f>IF('F2'!D$8=A24,1,IF(('F2'!D$8-A24)*('F2'!D$8-A25)&lt;0,1,""))</f>
        <v/>
      </c>
      <c r="D24" s="68" t="str">
        <f>IF(C24=1,(B24*(A25-'F2'!D$8)+B25*('F2'!D$8-A24))/(A25-A24),"")</f>
        <v/>
      </c>
      <c r="G24" s="75">
        <v>3.6900000000000002E-2</v>
      </c>
      <c r="H24" s="75">
        <v>-0.4335</v>
      </c>
      <c r="I24" s="17">
        <v>0</v>
      </c>
      <c r="J24" s="17">
        <v>0</v>
      </c>
      <c r="L24" s="74">
        <f>LOG(1+L$11*0.3)</f>
        <v>0.11394335230683679</v>
      </c>
      <c r="M24" s="17">
        <v>79</v>
      </c>
      <c r="R24" s="28">
        <v>14</v>
      </c>
      <c r="S24" s="28">
        <v>84</v>
      </c>
      <c r="T24" s="28">
        <v>-0.5</v>
      </c>
      <c r="V24" s="28"/>
      <c r="W24" s="28"/>
      <c r="X24" s="28"/>
      <c r="Y24" s="28"/>
    </row>
    <row r="25" spans="1:25" x14ac:dyDescent="0.25">
      <c r="A25" s="71">
        <v>10</v>
      </c>
      <c r="B25" s="77">
        <v>617.79999999999995</v>
      </c>
      <c r="C25" s="17" t="str">
        <f>IF('F2'!D$8=A25,1,IF(('F2'!D$8-A25)*('F2'!D$8-A26)&lt;0,1,""))</f>
        <v/>
      </c>
      <c r="D25" s="68" t="str">
        <f>IF(C25=1,(B25*(A26-'F2'!D$8)+B26*('F2'!D$8-A25))/(A26-A25),"")</f>
        <v/>
      </c>
      <c r="G25" s="75">
        <v>2.8799999999999999E-2</v>
      </c>
      <c r="H25" s="75">
        <v>-0.42470000000000002</v>
      </c>
      <c r="I25" s="17">
        <v>0</v>
      </c>
      <c r="J25" s="17">
        <v>0</v>
      </c>
      <c r="L25" s="74">
        <f>LOG(1+L$11*0.45)</f>
        <v>0.16136800223497488</v>
      </c>
      <c r="M25" s="17">
        <v>79</v>
      </c>
      <c r="R25" s="28">
        <v>15</v>
      </c>
      <c r="S25" s="28">
        <v>80</v>
      </c>
      <c r="T25" s="28">
        <v>0</v>
      </c>
      <c r="V25" s="28"/>
      <c r="W25" s="28"/>
      <c r="X25" s="28"/>
      <c r="Y25" s="28"/>
    </row>
    <row r="26" spans="1:25" x14ac:dyDescent="0.25">
      <c r="A26" s="71">
        <v>11</v>
      </c>
      <c r="B26" s="77">
        <v>614.4</v>
      </c>
      <c r="C26" s="17" t="str">
        <f>IF('F2'!D$8=A26,1,IF(('F2'!D$8-A26)*('F2'!D$8-A27)&lt;0,1,""))</f>
        <v/>
      </c>
      <c r="D26" s="68" t="str">
        <f>IF(C26=1,(B26*(A27-'F2'!D$8)+B27*('F2'!D$8-A26))/(A27-A26),"")</f>
        <v/>
      </c>
      <c r="G26" s="75">
        <v>1.83E-2</v>
      </c>
      <c r="H26" s="75">
        <v>-0.41339999999999999</v>
      </c>
      <c r="I26" s="74">
        <v>0.24099999999999999</v>
      </c>
      <c r="J26" s="74">
        <v>6.5000000000000002E-2</v>
      </c>
      <c r="L26" s="74">
        <f>LOG(1+L$11*0.45)</f>
        <v>0.16136800223497488</v>
      </c>
      <c r="M26" s="17">
        <v>57</v>
      </c>
      <c r="R26" s="28">
        <v>16</v>
      </c>
      <c r="S26" s="28">
        <v>79</v>
      </c>
      <c r="T26" s="28">
        <v>0</v>
      </c>
      <c r="V26" s="28"/>
      <c r="W26" s="28"/>
      <c r="X26" s="28"/>
      <c r="Y26" s="28"/>
    </row>
    <row r="27" spans="1:25" x14ac:dyDescent="0.25">
      <c r="A27" s="71">
        <v>12</v>
      </c>
      <c r="B27" s="77">
        <v>611.70000000000005</v>
      </c>
      <c r="C27" s="17" t="str">
        <f>IF('F2'!D$8=A27,1,IF(('F2'!D$8-A27)*('F2'!D$8-A28)&lt;0,1,""))</f>
        <v/>
      </c>
      <c r="D27" s="68" t="str">
        <f>IF(C27=1,(B27*(A28-'F2'!D$8)+B28*('F2'!D$8-A27))/(A28-A27),"")</f>
        <v/>
      </c>
      <c r="G27" s="75">
        <v>5.4999999999999997E-3</v>
      </c>
      <c r="H27" s="75">
        <v>-0.39950000000000002</v>
      </c>
      <c r="I27" s="17">
        <v>0</v>
      </c>
      <c r="J27" s="17">
        <v>0</v>
      </c>
      <c r="L27" s="74">
        <f>LOG(1+L$11*0.75)</f>
        <v>0.24303804868629444</v>
      </c>
      <c r="M27" s="17">
        <v>57</v>
      </c>
      <c r="R27" s="28">
        <v>17</v>
      </c>
      <c r="S27" s="28">
        <v>75</v>
      </c>
      <c r="T27" s="28">
        <v>-0.5</v>
      </c>
      <c r="V27" s="28"/>
      <c r="W27" s="28"/>
      <c r="X27" s="28"/>
      <c r="Y27" s="28"/>
    </row>
    <row r="28" spans="1:25" x14ac:dyDescent="0.25">
      <c r="A28" s="71">
        <v>13</v>
      </c>
      <c r="B28" s="77">
        <v>609.4</v>
      </c>
      <c r="C28" s="17" t="str">
        <f>IF('F2'!D$8=A28,1,IF(('F2'!D$8-A28)*('F2'!D$8-A29)&lt;0,1,""))</f>
        <v/>
      </c>
      <c r="D28" s="68" t="str">
        <f>IF(C28=1,(B28*(A29-'F2'!D$8)+B29*('F2'!D$8-A28))/(A29-A28),"")</f>
        <v/>
      </c>
      <c r="G28" s="75">
        <v>-1.0200000000000001E-2</v>
      </c>
      <c r="H28" s="75">
        <v>-0.38119999999999998</v>
      </c>
      <c r="I28" s="17">
        <v>0</v>
      </c>
      <c r="J28" s="17">
        <v>0</v>
      </c>
      <c r="L28" s="74">
        <f>LOG(1+L$11*0.75)</f>
        <v>0.24303804868629444</v>
      </c>
      <c r="M28" s="17">
        <v>39</v>
      </c>
      <c r="R28" s="28">
        <v>18</v>
      </c>
      <c r="S28" s="28">
        <v>73</v>
      </c>
      <c r="T28" s="28">
        <v>-1</v>
      </c>
      <c r="V28" s="28"/>
      <c r="W28" s="28"/>
      <c r="X28" s="28"/>
      <c r="Y28" s="28"/>
    </row>
    <row r="29" spans="1:25" x14ac:dyDescent="0.25">
      <c r="A29" s="71">
        <v>14</v>
      </c>
      <c r="B29" s="77">
        <v>607.29999999999995</v>
      </c>
      <c r="C29" s="17" t="str">
        <f>IF('F2'!D$8=A29,1,IF(('F2'!D$8-A29)*('F2'!D$8-A30)&lt;0,1,""))</f>
        <v/>
      </c>
      <c r="D29" s="68" t="str">
        <f>IF(C29=1,(B29*(A30-'F2'!D$8)+B30*('F2'!D$8-A29))/(A30-A29),"")</f>
        <v/>
      </c>
      <c r="G29" s="75">
        <v>-2.8899999999999999E-2</v>
      </c>
      <c r="H29" s="75">
        <v>-0.35639999999999999</v>
      </c>
      <c r="I29" s="74">
        <v>0.35</v>
      </c>
      <c r="J29" s="74">
        <v>-6.2E-2</v>
      </c>
      <c r="L29" s="74">
        <f>LOG(1+L$11*1.15)</f>
        <v>0.33243845991560533</v>
      </c>
      <c r="M29" s="17">
        <v>39</v>
      </c>
      <c r="R29" s="28">
        <v>19</v>
      </c>
      <c r="S29" s="28">
        <v>71</v>
      </c>
      <c r="T29" s="28">
        <v>0</v>
      </c>
      <c r="V29" s="28"/>
      <c r="W29" s="28"/>
      <c r="X29" s="28"/>
      <c r="Y29" s="28"/>
    </row>
    <row r="30" spans="1:25" x14ac:dyDescent="0.25">
      <c r="A30" s="71">
        <v>15</v>
      </c>
      <c r="B30" s="77">
        <v>605.6</v>
      </c>
      <c r="C30" s="17" t="str">
        <f>IF('F2'!D$8=A30,1,IF(('F2'!D$8-A30)*('F2'!D$8-A31)&lt;0,1,""))</f>
        <v/>
      </c>
      <c r="D30" s="68" t="str">
        <f>IF(C30=1,(B30*(A31-'F2'!D$8)+B31*('F2'!D$8-A30))/(A31-A30),"")</f>
        <v/>
      </c>
      <c r="G30" s="75">
        <v>-5.3699999999999998E-2</v>
      </c>
      <c r="H30" s="75">
        <v>-0.31730000000000003</v>
      </c>
      <c r="I30" s="17">
        <v>0</v>
      </c>
      <c r="J30" s="17">
        <v>0</v>
      </c>
      <c r="L30" s="74">
        <f>LOG(1+L$11*1.15)</f>
        <v>0.33243845991560533</v>
      </c>
      <c r="M30" s="17">
        <v>27</v>
      </c>
      <c r="R30" s="28">
        <v>20</v>
      </c>
      <c r="S30" s="28">
        <v>68</v>
      </c>
      <c r="T30" s="28">
        <v>-2</v>
      </c>
      <c r="V30" s="28"/>
      <c r="W30" s="28"/>
      <c r="X30" s="28"/>
      <c r="Y30" s="28"/>
    </row>
    <row r="31" spans="1:25" x14ac:dyDescent="0.25">
      <c r="A31" s="71">
        <v>16</v>
      </c>
      <c r="B31" s="77">
        <v>604</v>
      </c>
      <c r="C31" s="17" t="str">
        <f>IF('F2'!D$8=A31,1,IF(('F2'!D$8-A31)*('F2'!D$8-A32)&lt;0,1,""))</f>
        <v/>
      </c>
      <c r="D31" s="68" t="str">
        <f>IF(C31=1,(B31*(A32-'F2'!D$8)+B32*('F2'!D$8-A31))/(A32-A31),"")</f>
        <v/>
      </c>
      <c r="G31" s="75">
        <v>-8.3199999999999996E-2</v>
      </c>
      <c r="H31" s="75">
        <v>-0.26390000000000002</v>
      </c>
      <c r="I31" s="17">
        <v>0</v>
      </c>
      <c r="J31" s="17">
        <v>0</v>
      </c>
      <c r="L31" s="74">
        <f>LOG(1+L$11*1.5)</f>
        <v>0.3979400086720376</v>
      </c>
      <c r="M31" s="17">
        <v>27</v>
      </c>
      <c r="R31" s="28">
        <v>21</v>
      </c>
      <c r="S31" s="28">
        <v>63</v>
      </c>
      <c r="T31" s="28">
        <v>-1</v>
      </c>
      <c r="V31" s="28"/>
      <c r="W31" s="28"/>
      <c r="X31" s="28"/>
      <c r="Y31" s="28"/>
    </row>
    <row r="32" spans="1:25" x14ac:dyDescent="0.25">
      <c r="A32" s="71">
        <v>17</v>
      </c>
      <c r="B32" s="77">
        <v>602.6</v>
      </c>
      <c r="C32" s="17" t="str">
        <f>IF('F2'!D$8=A32,1,IF(('F2'!D$8-A32)*('F2'!D$8-A33)&lt;0,1,""))</f>
        <v/>
      </c>
      <c r="D32" s="68" t="str">
        <f>IF(C32=1,(B32*(A33-'F2'!D$8)+B33*('F2'!D$8-A32))/(A33-A32),"")</f>
        <v/>
      </c>
      <c r="G32" s="75">
        <v>-0.115</v>
      </c>
      <c r="H32" s="75">
        <v>-0.19750000000000001</v>
      </c>
      <c r="I32" s="74">
        <v>0.16600000000000001</v>
      </c>
      <c r="J32" s="74">
        <v>-0.30199999999999999</v>
      </c>
      <c r="L32" s="74">
        <f>LOG(1+L$11*1.5)</f>
        <v>0.3979400086720376</v>
      </c>
      <c r="M32" s="17">
        <v>15</v>
      </c>
      <c r="R32" s="28">
        <v>22</v>
      </c>
      <c r="S32" s="28">
        <v>62</v>
      </c>
      <c r="T32" s="28">
        <v>-1.5</v>
      </c>
      <c r="V32" s="28"/>
      <c r="W32" s="28"/>
      <c r="X32" s="28"/>
      <c r="Y32" s="28"/>
    </row>
    <row r="33" spans="1:25" x14ac:dyDescent="0.25">
      <c r="A33" s="71">
        <v>18</v>
      </c>
      <c r="B33" s="77">
        <v>601.29999999999995</v>
      </c>
      <c r="C33" s="17" t="str">
        <f>IF('F2'!D$8=A33,1,IF(('F2'!D$8-A33)*('F2'!D$8-A34)&lt;0,1,""))</f>
        <v/>
      </c>
      <c r="D33" s="68" t="str">
        <f>IF(C33=1,(B33*(A34-'F2'!D$8)+B34*('F2'!D$8-A33))/(A34-A33),"")</f>
        <v/>
      </c>
      <c r="G33" s="75">
        <v>-0.1457</v>
      </c>
      <c r="H33" s="75">
        <v>-0.12559999999999999</v>
      </c>
      <c r="I33" s="17">
        <v>0</v>
      </c>
      <c r="J33" s="17">
        <v>0</v>
      </c>
      <c r="L33" s="74">
        <f>LOG(1+L$11*2.2)</f>
        <v>0.50514997831990605</v>
      </c>
      <c r="M33" s="17">
        <v>15</v>
      </c>
      <c r="R33" s="28">
        <v>23</v>
      </c>
      <c r="S33" s="28">
        <v>62</v>
      </c>
      <c r="T33" s="28">
        <v>-0.5</v>
      </c>
      <c r="V33" s="28"/>
      <c r="W33" s="28"/>
      <c r="X33" s="28"/>
      <c r="Y33" s="28"/>
    </row>
    <row r="34" spans="1:25" x14ac:dyDescent="0.25">
      <c r="A34" s="71">
        <v>19</v>
      </c>
      <c r="B34" s="77">
        <v>600.1</v>
      </c>
      <c r="C34" s="17" t="str">
        <f>IF('F2'!D$8=A34,1,IF(('F2'!D$8-A34)*('F2'!D$8-A35)&lt;0,1,""))</f>
        <v/>
      </c>
      <c r="D34" s="68" t="str">
        <f>IF(C34=1,(B34*(A35-'F2'!D$8)+B35*('F2'!D$8-A34))/(A35-A34),"")</f>
        <v/>
      </c>
      <c r="G34" s="75">
        <v>-0.186</v>
      </c>
      <c r="H34" s="75">
        <v>1.5E-3</v>
      </c>
      <c r="I34" s="70"/>
      <c r="J34" s="70"/>
      <c r="L34" s="74">
        <v>0.505</v>
      </c>
      <c r="M34" s="17">
        <v>3</v>
      </c>
      <c r="R34" s="28">
        <v>24</v>
      </c>
      <c r="S34" s="28">
        <v>62</v>
      </c>
      <c r="T34" s="28">
        <v>-0.5</v>
      </c>
      <c r="V34" s="28"/>
      <c r="W34" s="28"/>
      <c r="X34" s="28"/>
      <c r="Y34" s="28"/>
    </row>
    <row r="35" spans="1:25" x14ac:dyDescent="0.25">
      <c r="A35" s="71">
        <v>20</v>
      </c>
      <c r="B35" s="77">
        <v>598.9</v>
      </c>
      <c r="C35" s="17" t="str">
        <f>IF('F2'!D$8=A35,1,IF(('F2'!D$8-A35)*('F2'!D$8-A36)&lt;0,1,""))</f>
        <v/>
      </c>
      <c r="D35" s="68" t="str">
        <f>IF(C35=1,(B35*(A36-'F2'!D$8)+B36*('F2'!D$8-A35))/(A36-A35),"")</f>
        <v/>
      </c>
      <c r="G35" s="75">
        <v>-0.19439999999999999</v>
      </c>
      <c r="H35" s="75">
        <v>4.4699999999999997E-2</v>
      </c>
      <c r="I35" s="70"/>
      <c r="J35" s="70"/>
      <c r="L35" s="74">
        <v>1</v>
      </c>
      <c r="M35" s="17">
        <v>3</v>
      </c>
      <c r="R35" s="28">
        <v>25</v>
      </c>
      <c r="S35" s="28">
        <v>63</v>
      </c>
      <c r="T35" s="28">
        <v>0</v>
      </c>
      <c r="V35" s="28"/>
      <c r="W35" s="28"/>
      <c r="X35" s="28"/>
      <c r="Y35" s="28"/>
    </row>
    <row r="36" spans="1:25" x14ac:dyDescent="0.25">
      <c r="A36" s="71">
        <v>21</v>
      </c>
      <c r="B36" s="77">
        <v>597.9</v>
      </c>
      <c r="C36" s="17" t="str">
        <f>IF('F2'!D$8=A36,1,IF(('F2'!D$8-A36)*('F2'!D$8-A37)&lt;0,1,""))</f>
        <v/>
      </c>
      <c r="D36" s="68" t="str">
        <f>IF(C36=1,(B36*(A37-'F2'!D$8)+B37*('F2'!D$8-A36))/(A37-A36),"")</f>
        <v/>
      </c>
      <c r="G36" s="75">
        <v>-0.19639999999999999</v>
      </c>
      <c r="H36" s="75">
        <v>7.4800000000000005E-2</v>
      </c>
      <c r="I36" s="70"/>
      <c r="J36" s="70"/>
      <c r="L36" s="17">
        <v>0</v>
      </c>
      <c r="M36" s="17">
        <v>100</v>
      </c>
      <c r="R36" s="28">
        <v>26</v>
      </c>
      <c r="S36" s="28">
        <v>64</v>
      </c>
      <c r="T36" s="28">
        <v>0</v>
      </c>
      <c r="V36" s="28"/>
      <c r="W36" s="28"/>
      <c r="X36" s="28"/>
      <c r="Y36" s="28"/>
    </row>
    <row r="37" spans="1:25" x14ac:dyDescent="0.25">
      <c r="A37" s="71">
        <v>22</v>
      </c>
      <c r="B37" s="77">
        <v>596.9</v>
      </c>
      <c r="C37" s="17" t="str">
        <f>IF('F2'!D$8=A37,1,IF(('F2'!D$8-A37)*('F2'!D$8-A38)&lt;0,1,""))</f>
        <v/>
      </c>
      <c r="D37" s="68" t="str">
        <f>IF(C37=1,(B37*(A38-'F2'!D$8)+B38*('F2'!D$8-A37))/(A38-A37),"")</f>
        <v/>
      </c>
      <c r="G37" s="75">
        <v>-0.19320000000000001</v>
      </c>
      <c r="H37" s="75">
        <v>9.5500000000000002E-2</v>
      </c>
      <c r="I37" s="70"/>
      <c r="J37" s="70"/>
      <c r="L37" s="17">
        <v>1</v>
      </c>
      <c r="M37" s="17">
        <v>100</v>
      </c>
      <c r="R37" s="28">
        <v>27</v>
      </c>
      <c r="S37" s="28">
        <v>64.5</v>
      </c>
      <c r="T37" s="28">
        <v>0</v>
      </c>
      <c r="V37" s="28"/>
      <c r="W37" s="28"/>
      <c r="X37" s="28"/>
      <c r="Y37" s="28"/>
    </row>
    <row r="38" spans="1:25" x14ac:dyDescent="0.25">
      <c r="A38" s="71">
        <v>23</v>
      </c>
      <c r="B38" s="77">
        <v>596</v>
      </c>
      <c r="C38" s="17" t="str">
        <f>IF('F2'!D$8=A38,1,IF(('F2'!D$8-A38)*('F2'!D$8-A39)&lt;0,1,""))</f>
        <v/>
      </c>
      <c r="D38" s="68" t="str">
        <f>IF(C38=1,(B38*(A39-'F2'!D$8)+B39*('F2'!D$8-A38))/(A39-A38),"")</f>
        <v/>
      </c>
      <c r="G38" s="75">
        <v>-0.18559999999999999</v>
      </c>
      <c r="H38" s="75">
        <v>0.1086</v>
      </c>
      <c r="I38" s="70"/>
      <c r="J38" s="70"/>
      <c r="L38" s="74">
        <f>LOG(1+L$11*1)</f>
        <v>0.3010299956639812</v>
      </c>
      <c r="M38" s="17">
        <v>100</v>
      </c>
      <c r="R38" s="28">
        <v>28</v>
      </c>
      <c r="S38" s="28">
        <v>62</v>
      </c>
      <c r="T38" s="28">
        <v>-4</v>
      </c>
      <c r="V38" s="28"/>
      <c r="W38" s="28"/>
      <c r="X38" s="28"/>
      <c r="Y38" s="28"/>
    </row>
    <row r="39" spans="1:25" x14ac:dyDescent="0.25">
      <c r="A39" s="71">
        <v>24</v>
      </c>
      <c r="B39" s="77">
        <v>595.1</v>
      </c>
      <c r="C39" s="17" t="str">
        <f>IF('F2'!D$8=A39,1,IF(('F2'!D$8-A39)*('F2'!D$8-A40)&lt;0,1,""))</f>
        <v/>
      </c>
      <c r="D39" s="68" t="str">
        <f>IF(C39=1,(B39*(A40-'F2'!D$8)+B40*('F2'!D$8-A39))/(A40-A39),"")</f>
        <v/>
      </c>
      <c r="G39" s="75">
        <v>-0.17469999999999999</v>
      </c>
      <c r="H39" s="75">
        <v>0.1153</v>
      </c>
      <c r="I39" s="70"/>
      <c r="J39" s="70"/>
      <c r="L39" s="74">
        <f>LOG(1+L$11*1)</f>
        <v>0.3010299956639812</v>
      </c>
      <c r="M39" s="17">
        <v>94</v>
      </c>
      <c r="R39" s="28">
        <v>29</v>
      </c>
      <c r="S39" s="28">
        <v>56</v>
      </c>
      <c r="T39" s="28">
        <v>-4</v>
      </c>
      <c r="V39" s="28"/>
      <c r="W39" s="28"/>
      <c r="X39" s="28"/>
      <c r="Y39" s="28"/>
    </row>
    <row r="40" spans="1:25" x14ac:dyDescent="0.25">
      <c r="A40" s="71">
        <v>25</v>
      </c>
      <c r="B40" s="77">
        <v>594.29999999999995</v>
      </c>
      <c r="C40" s="17" t="str">
        <f>IF('F2'!D$8=A40,1,IF(('F2'!D$8-A40)*('F2'!D$8-A41)&lt;0,1,""))</f>
        <v/>
      </c>
      <c r="D40" s="68" t="str">
        <f>IF(C40=1,(B40*(A41-'F2'!D$8)+B41*('F2'!D$8-A40))/(A41-A40),"")</f>
        <v/>
      </c>
      <c r="G40" s="75">
        <v>-0.1618</v>
      </c>
      <c r="H40" s="75">
        <v>0.1178</v>
      </c>
      <c r="I40" s="70"/>
      <c r="J40" s="70"/>
      <c r="L40" s="74">
        <f>LOG(1+L$11*0.25)</f>
        <v>9.691001300805642E-2</v>
      </c>
      <c r="M40" s="17">
        <v>94</v>
      </c>
      <c r="R40" s="28">
        <v>30</v>
      </c>
      <c r="S40" s="28">
        <v>53</v>
      </c>
      <c r="T40" s="28">
        <v>-8</v>
      </c>
      <c r="V40" s="28"/>
      <c r="W40" s="28"/>
      <c r="X40" s="28"/>
      <c r="Y40" s="28"/>
    </row>
    <row r="41" spans="1:25" x14ac:dyDescent="0.25">
      <c r="A41" s="71">
        <v>26</v>
      </c>
      <c r="B41" s="77">
        <v>593.6</v>
      </c>
      <c r="C41" s="17" t="str">
        <f>IF('F2'!D$8=A41,1,IF(('F2'!D$8-A41)*('F2'!D$8-A42)&lt;0,1,""))</f>
        <v/>
      </c>
      <c r="D41" s="68" t="str">
        <f>IF(C41=1,(B41*(A42-'F2'!D$8)+B42*('F2'!D$8-A41))/(A42-A41),"")</f>
        <v/>
      </c>
      <c r="G41" s="75">
        <v>-0.14779999999999999</v>
      </c>
      <c r="H41" s="75">
        <v>0.11840000000000001</v>
      </c>
      <c r="I41" s="78"/>
      <c r="J41" s="79"/>
      <c r="L41" s="74">
        <f>LOG(1+L$11*0.25)</f>
        <v>9.691001300805642E-2</v>
      </c>
      <c r="M41" s="17">
        <v>92</v>
      </c>
      <c r="V41" s="28"/>
      <c r="W41" s="28"/>
      <c r="X41" s="28"/>
      <c r="Y41" s="28"/>
    </row>
    <row r="42" spans="1:25" x14ac:dyDescent="0.25">
      <c r="A42" s="71">
        <v>27</v>
      </c>
      <c r="B42" s="77">
        <v>592.79999999999995</v>
      </c>
      <c r="C42" s="17" t="str">
        <f>IF('F2'!D$8=A42,1,IF(('F2'!D$8-A42)*('F2'!D$8-A43)&lt;0,1,""))</f>
        <v/>
      </c>
      <c r="D42" s="68" t="str">
        <f>IF(C42=1,(B42*(A43-'F2'!D$8)+B43*('F2'!D$8-A42))/(A43-A42),"")</f>
        <v/>
      </c>
      <c r="G42" s="75">
        <v>-0.13350000000000001</v>
      </c>
      <c r="H42" s="75">
        <v>0.1182</v>
      </c>
      <c r="I42" s="78"/>
      <c r="J42" s="79"/>
      <c r="L42" s="74">
        <f>LOG(1+L$11*0.15)</f>
        <v>6.069784035361165E-2</v>
      </c>
      <c r="M42" s="17">
        <v>92</v>
      </c>
      <c r="V42" s="28"/>
      <c r="W42" s="28"/>
      <c r="X42" s="28"/>
      <c r="Y42" s="28"/>
    </row>
    <row r="43" spans="1:25" x14ac:dyDescent="0.25">
      <c r="A43" s="71">
        <v>28</v>
      </c>
      <c r="B43" s="77">
        <v>592.20000000000005</v>
      </c>
      <c r="C43" s="17" t="str">
        <f>IF('F2'!D$8=A43,1,IF(('F2'!D$8-A43)*('F2'!D$8-A44)&lt;0,1,""))</f>
        <v/>
      </c>
      <c r="D43" s="68" t="str">
        <f>IF(C43=1,(B43*(A44-'F2'!D$8)+B44*('F2'!D$8-A43))/(A44-A43),"")</f>
        <v/>
      </c>
      <c r="G43" s="75">
        <v>-0.1186</v>
      </c>
      <c r="H43" s="75">
        <v>0.1173</v>
      </c>
      <c r="I43" s="78"/>
      <c r="J43" s="79"/>
      <c r="L43" s="74">
        <f>LOG(1+L$11*0.15)</f>
        <v>6.069784035361165E-2</v>
      </c>
      <c r="M43" s="17">
        <v>89.5</v>
      </c>
      <c r="V43" s="28"/>
      <c r="W43" s="28"/>
      <c r="X43" s="28"/>
      <c r="Y43" s="28"/>
    </row>
    <row r="44" spans="1:25" x14ac:dyDescent="0.25">
      <c r="A44" s="71">
        <v>29</v>
      </c>
      <c r="B44" s="77">
        <v>591.5</v>
      </c>
      <c r="C44" s="17" t="str">
        <f>IF('F2'!D$8=A44,1,IF(('F2'!D$8-A44)*('F2'!D$8-A45)&lt;0,1,""))</f>
        <v/>
      </c>
      <c r="D44" s="68" t="str">
        <f>IF(C44=1,(B44*(A45-'F2'!D$8)+B45*('F2'!D$8-A44))/(A45-A44),"")</f>
        <v/>
      </c>
      <c r="G44" s="75">
        <v>-0.1026</v>
      </c>
      <c r="H44" s="75">
        <v>0.1158</v>
      </c>
      <c r="I44" s="78"/>
      <c r="J44" s="79"/>
      <c r="L44" s="74">
        <f>LOG(1+L$11*0.15)</f>
        <v>6.069784035361165E-2</v>
      </c>
      <c r="M44" s="17">
        <v>89.5</v>
      </c>
      <c r="V44" s="28"/>
      <c r="W44" s="28"/>
      <c r="X44" s="28"/>
      <c r="Y44" s="28"/>
    </row>
    <row r="45" spans="1:25" x14ac:dyDescent="0.25">
      <c r="A45" s="71">
        <v>30</v>
      </c>
      <c r="B45" s="77">
        <v>590.9</v>
      </c>
      <c r="C45" s="17" t="str">
        <f>IF('F2'!D$8=A45,1,IF(('F2'!D$8-A45)*('F2'!D$8-A46)&lt;0,1,""))</f>
        <v/>
      </c>
      <c r="D45" s="68" t="str">
        <f>IF(C45=1,(B45*(A46-'F2'!D$8)+B46*('F2'!D$8-A45))/(A46-A45),"")</f>
        <v/>
      </c>
      <c r="G45" s="75">
        <v>-8.5099999999999995E-2</v>
      </c>
      <c r="H45" s="75">
        <v>0.1137</v>
      </c>
      <c r="I45" s="78"/>
      <c r="J45" s="79"/>
      <c r="L45" s="74">
        <f>LOG(1+L$11*0.15)</f>
        <v>6.069784035361165E-2</v>
      </c>
      <c r="M45" s="17">
        <v>79</v>
      </c>
      <c r="V45" s="28"/>
      <c r="W45" s="28"/>
      <c r="X45" s="28"/>
      <c r="Y45" s="28"/>
    </row>
    <row r="46" spans="1:25" x14ac:dyDescent="0.25">
      <c r="A46" s="71">
        <v>31</v>
      </c>
      <c r="B46" s="77">
        <v>590.29999999999995</v>
      </c>
      <c r="C46" s="17" t="str">
        <f>IF('F2'!D$8=A46,1,IF(('F2'!D$8-A46)*('F2'!D$8-A47)&lt;0,1,""))</f>
        <v/>
      </c>
      <c r="D46" s="68" t="str">
        <f>IF(C46=1,(B46*(A47-'F2'!D$8)+B47*('F2'!D$8-A46))/(A47-A46),"")</f>
        <v/>
      </c>
      <c r="G46" s="75">
        <v>-6.59E-2</v>
      </c>
      <c r="H46" s="75">
        <v>0.11119999999999999</v>
      </c>
      <c r="I46" s="78"/>
      <c r="J46" s="79"/>
      <c r="L46" s="74">
        <f>LOG(1+L$11*0.2)</f>
        <v>7.9181246047624818E-2</v>
      </c>
      <c r="M46" s="17">
        <v>79</v>
      </c>
      <c r="V46" s="28"/>
      <c r="W46" s="28"/>
      <c r="X46" s="28"/>
      <c r="Y46" s="28"/>
    </row>
    <row r="47" spans="1:25" x14ac:dyDescent="0.25">
      <c r="A47" s="71">
        <v>32</v>
      </c>
      <c r="B47" s="77">
        <v>589.70000000000005</v>
      </c>
      <c r="C47" s="17" t="str">
        <f>IF('F2'!D$8=A47,1,IF(('F2'!D$8-A47)*('F2'!D$8-A48)&lt;0,1,""))</f>
        <v/>
      </c>
      <c r="D47" s="68" t="str">
        <f>IF(C47=1,(B47*(A48-'F2'!D$8)+B48*('F2'!D$8-A47))/(A48-A47),"")</f>
        <v/>
      </c>
      <c r="G47" s="75">
        <v>-4.4699999999999997E-2</v>
      </c>
      <c r="H47" s="75">
        <v>0.1082</v>
      </c>
      <c r="I47" s="78"/>
      <c r="J47" s="79"/>
      <c r="L47" s="74">
        <f>LOG(1+L$11*0.2)</f>
        <v>7.9181246047624818E-2</v>
      </c>
      <c r="M47" s="17">
        <v>57</v>
      </c>
      <c r="V47" s="28"/>
      <c r="W47" s="28"/>
      <c r="X47" s="28"/>
      <c r="Y47" s="28"/>
    </row>
    <row r="48" spans="1:25" x14ac:dyDescent="0.25">
      <c r="A48" s="71">
        <v>33</v>
      </c>
      <c r="B48" s="77">
        <v>589.1</v>
      </c>
      <c r="C48" s="17" t="str">
        <f>IF('F2'!D$8=A48,1,IF(('F2'!D$8-A48)*('F2'!D$8-A49)&lt;0,1,""))</f>
        <v/>
      </c>
      <c r="D48" s="68" t="str">
        <f>IF(C48=1,(B48*(A49-'F2'!D$8)+B49*('F2'!D$8-A48))/(A49-A48),"")</f>
        <v/>
      </c>
      <c r="G48" s="75">
        <v>-2.12E-2</v>
      </c>
      <c r="H48" s="75">
        <v>0.1048</v>
      </c>
      <c r="I48" s="78"/>
      <c r="J48" s="79"/>
      <c r="L48" s="74">
        <f>LOG(1+L$11*0.35)</f>
        <v>0.13033376849500614</v>
      </c>
      <c r="M48" s="17">
        <v>57</v>
      </c>
      <c r="V48" s="28"/>
      <c r="W48" s="28"/>
      <c r="X48" s="28"/>
      <c r="Y48" s="28"/>
    </row>
    <row r="49" spans="1:25" x14ac:dyDescent="0.25">
      <c r="A49" s="71">
        <v>34</v>
      </c>
      <c r="B49" s="77">
        <v>588.6</v>
      </c>
      <c r="C49" s="17" t="str">
        <f>IF('F2'!D$8=A49,1,IF(('F2'!D$8-A49)*('F2'!D$8-A50)&lt;0,1,""))</f>
        <v/>
      </c>
      <c r="D49" s="68" t="str">
        <f>IF(C49=1,(B49*(A50-'F2'!D$8)+B50*('F2'!D$8-A49))/(A50-A49),"")</f>
        <v/>
      </c>
      <c r="G49" s="75">
        <v>4.7000000000000002E-3</v>
      </c>
      <c r="H49" s="75">
        <v>0.10100000000000001</v>
      </c>
      <c r="I49" s="78"/>
      <c r="J49" s="79"/>
      <c r="L49" s="74">
        <f>LOG(1+L$11*0.35)</f>
        <v>0.13033376849500614</v>
      </c>
      <c r="M49" s="17">
        <v>39</v>
      </c>
      <c r="V49" s="28"/>
      <c r="W49" s="28"/>
      <c r="X49" s="28"/>
      <c r="Y49" s="28"/>
    </row>
    <row r="50" spans="1:25" x14ac:dyDescent="0.25">
      <c r="A50" s="71">
        <v>35</v>
      </c>
      <c r="B50" s="77">
        <v>588.1</v>
      </c>
      <c r="C50" s="17" t="str">
        <f>IF('F2'!D$8=A50,1,IF(('F2'!D$8-A50)*('F2'!D$8-A51)&lt;0,1,""))</f>
        <v/>
      </c>
      <c r="D50" s="68" t="str">
        <f>IF(C50=1,(B50*(A51-'F2'!D$8)+B51*('F2'!D$8-A50))/(A51-A50),"")</f>
        <v/>
      </c>
      <c r="G50" s="75">
        <v>3.3300000000000003E-2</v>
      </c>
      <c r="H50" s="75">
        <v>9.6799999999999997E-2</v>
      </c>
      <c r="I50" s="70"/>
      <c r="L50" s="74">
        <f>LOG(1+L$11*0.55)</f>
        <v>0.1903316981702915</v>
      </c>
      <c r="M50" s="17">
        <v>39</v>
      </c>
      <c r="V50" s="28"/>
      <c r="W50" s="28"/>
      <c r="X50" s="28"/>
      <c r="Y50" s="28"/>
    </row>
    <row r="51" spans="1:25" x14ac:dyDescent="0.25">
      <c r="A51" s="71">
        <v>36</v>
      </c>
      <c r="B51" s="77">
        <v>587.6</v>
      </c>
      <c r="C51" s="17" t="str">
        <f>IF('F2'!D$8=A51,1,IF(('F2'!D$8-A51)*('F2'!D$8-A52)&lt;0,1,""))</f>
        <v/>
      </c>
      <c r="D51" s="68" t="str">
        <f>IF(C51=1,(B51*(A52-'F2'!D$8)+B52*('F2'!D$8-A51))/(A52-A51),"")</f>
        <v/>
      </c>
      <c r="G51" s="75">
        <v>6.4500000000000002E-2</v>
      </c>
      <c r="H51" s="75">
        <v>9.2100000000000001E-2</v>
      </c>
      <c r="I51" s="70"/>
      <c r="L51" s="74">
        <f>LOG(1+L$11*0.55)</f>
        <v>0.1903316981702915</v>
      </c>
      <c r="M51" s="17">
        <v>27</v>
      </c>
      <c r="V51" s="28"/>
      <c r="W51" s="28"/>
      <c r="X51" s="28"/>
      <c r="Y51" s="28"/>
    </row>
    <row r="52" spans="1:25" x14ac:dyDescent="0.25">
      <c r="A52" s="71">
        <v>37</v>
      </c>
      <c r="B52" s="77">
        <v>587.1</v>
      </c>
      <c r="C52" s="17" t="str">
        <f>IF('F2'!D$8=A52,1,IF(('F2'!D$8-A52)*('F2'!D$8-A53)&lt;0,1,""))</f>
        <v/>
      </c>
      <c r="D52" s="68" t="str">
        <f>IF(C52=1,(B52*(A53-'F2'!D$8)+B53*('F2'!D$8-A52))/(A53-A52),"")</f>
        <v/>
      </c>
      <c r="G52" s="75">
        <v>9.8100000000000007E-2</v>
      </c>
      <c r="H52" s="75">
        <v>8.7099999999999997E-2</v>
      </c>
      <c r="I52" s="70"/>
      <c r="L52" s="74">
        <f>LOG(1+L$11*1)</f>
        <v>0.3010299956639812</v>
      </c>
      <c r="M52" s="17">
        <v>27</v>
      </c>
      <c r="V52" s="28"/>
      <c r="W52" s="28"/>
      <c r="X52" s="28"/>
      <c r="Y52" s="28"/>
    </row>
    <row r="53" spans="1:25" x14ac:dyDescent="0.25">
      <c r="A53" s="71">
        <v>38</v>
      </c>
      <c r="B53" s="77">
        <v>586.6</v>
      </c>
      <c r="C53" s="17" t="str">
        <f>IF('F2'!D$8=A53,1,IF(('F2'!D$8-A53)*('F2'!D$8-A54)&lt;0,1,""))</f>
        <v/>
      </c>
      <c r="D53" s="68" t="str">
        <f>IF(C53=1,(B53*(A54-'F2'!D$8)+B54*('F2'!D$8-A53))/(A54-A53),"")</f>
        <v/>
      </c>
      <c r="G53" s="75">
        <v>0.1336</v>
      </c>
      <c r="H53" s="75">
        <v>8.1799999999999998E-2</v>
      </c>
      <c r="I53" s="70"/>
      <c r="L53" s="74">
        <f>LOG(1+L$11*1)</f>
        <v>0.3010299956639812</v>
      </c>
      <c r="M53" s="17">
        <v>3</v>
      </c>
      <c r="V53" s="28"/>
      <c r="W53" s="28"/>
      <c r="X53" s="28"/>
      <c r="Y53" s="28"/>
    </row>
    <row r="54" spans="1:25" x14ac:dyDescent="0.25">
      <c r="A54" s="71">
        <v>39</v>
      </c>
      <c r="B54" s="77">
        <v>586.1</v>
      </c>
      <c r="C54" s="17" t="str">
        <f>IF('F2'!D$8=A54,1,IF(('F2'!D$8-A54)*('F2'!D$8-A55)&lt;0,1,""))</f>
        <v/>
      </c>
      <c r="D54" s="68" t="str">
        <f>IF(C54=1,(B54*(A55-'F2'!D$8)+B55*('F2'!D$8-A54))/(A55-A54),"")</f>
        <v/>
      </c>
      <c r="G54" s="75">
        <v>0.17030000000000001</v>
      </c>
      <c r="H54" s="75">
        <v>7.6300000000000007E-2</v>
      </c>
      <c r="I54" s="70"/>
      <c r="L54" s="74">
        <f>LOG(1+L$11*1.5)</f>
        <v>0.3979400086720376</v>
      </c>
      <c r="M54" s="17">
        <v>3</v>
      </c>
      <c r="V54" s="28"/>
      <c r="W54" s="28"/>
      <c r="X54" s="28"/>
      <c r="Y54" s="28"/>
    </row>
    <row r="55" spans="1:25" x14ac:dyDescent="0.25">
      <c r="A55" s="71">
        <v>40</v>
      </c>
      <c r="B55" s="77">
        <v>585.70000000000005</v>
      </c>
      <c r="C55" s="17" t="str">
        <f>IF('F2'!D$8=A55,1,IF(('F2'!D$8-A55)*('F2'!D$8-A56)&lt;0,1,""))</f>
        <v/>
      </c>
      <c r="D55" s="68" t="str">
        <f>IF(C55=1,(B55*(A56-'F2'!D$8)+B56*('F2'!D$8-A55))/(A56-A55),"")</f>
        <v/>
      </c>
      <c r="G55" s="75">
        <v>0.20569999999999999</v>
      </c>
      <c r="H55" s="75">
        <v>7.0999999999999994E-2</v>
      </c>
      <c r="I55" s="70"/>
      <c r="L55" s="74">
        <f>LOG(1+L$11*1.5)</f>
        <v>0.3979400086720376</v>
      </c>
      <c r="M55" s="17">
        <v>0</v>
      </c>
      <c r="V55" s="28"/>
      <c r="W55" s="28"/>
      <c r="X55" s="28"/>
      <c r="Y55" s="28"/>
    </row>
    <row r="56" spans="1:25" x14ac:dyDescent="0.25">
      <c r="A56" s="71">
        <v>41</v>
      </c>
      <c r="B56" s="77">
        <v>585.29999999999995</v>
      </c>
      <c r="C56" s="17" t="str">
        <f>IF('F2'!D$8=A56,1,IF(('F2'!D$8-A56)*('F2'!D$8-A57)&lt;0,1,""))</f>
        <v/>
      </c>
      <c r="D56" s="68" t="str">
        <f>IF(C56=1,(B56*(A57-'F2'!D$8)+B57*('F2'!D$8-A56))/(A57-A56),"")</f>
        <v/>
      </c>
      <c r="G56" s="75">
        <v>0.24010000000000001</v>
      </c>
      <c r="H56" s="75">
        <v>6.59E-2</v>
      </c>
      <c r="I56" s="70"/>
      <c r="V56" s="28"/>
      <c r="W56" s="28"/>
      <c r="X56" s="28"/>
      <c r="Y56" s="28"/>
    </row>
    <row r="57" spans="1:25" x14ac:dyDescent="0.25">
      <c r="A57" s="71">
        <v>42</v>
      </c>
      <c r="B57" s="77">
        <v>584.79999999999995</v>
      </c>
      <c r="C57" s="17" t="str">
        <f>IF('F2'!D$8=A57,1,IF(('F2'!D$8-A57)*('F2'!D$8-A58)&lt;0,1,""))</f>
        <v/>
      </c>
      <c r="D57" s="68" t="str">
        <f>IF(C57=1,(B57*(A58-'F2'!D$8)+B58*('F2'!D$8-A57))/(A58-A57),"")</f>
        <v/>
      </c>
      <c r="G57" s="75">
        <v>0.27129999999999999</v>
      </c>
      <c r="H57" s="75">
        <v>6.1199999999999997E-2</v>
      </c>
      <c r="I57" s="70"/>
      <c r="V57" s="28"/>
      <c r="W57" s="28"/>
      <c r="X57" s="28"/>
      <c r="Y57" s="28"/>
    </row>
    <row r="58" spans="1:25" x14ac:dyDescent="0.25">
      <c r="A58" s="71">
        <v>43</v>
      </c>
      <c r="B58" s="77">
        <v>584.4</v>
      </c>
      <c r="C58" s="17" t="str">
        <f>IF('F2'!D$8=A58,1,IF(('F2'!D$8-A58)*('F2'!D$8-A59)&lt;0,1,""))</f>
        <v/>
      </c>
      <c r="D58" s="68" t="str">
        <f>IF(C58=1,(B58*(A59-'F2'!D$8)+B59*('F2'!D$8-A58))/(A59-A58),"")</f>
        <v/>
      </c>
      <c r="G58" s="75">
        <v>0.2989</v>
      </c>
      <c r="H58" s="75">
        <v>5.7099999999999998E-2</v>
      </c>
      <c r="I58" s="70"/>
      <c r="V58" s="28"/>
      <c r="W58" s="28"/>
      <c r="X58" s="28"/>
      <c r="Y58" s="28"/>
    </row>
    <row r="59" spans="1:25" x14ac:dyDescent="0.25">
      <c r="A59" s="71">
        <v>44</v>
      </c>
      <c r="B59" s="77">
        <v>584</v>
      </c>
      <c r="C59" s="17" t="str">
        <f>IF('F2'!D$8=A59,1,IF(('F2'!D$8-A59)*('F2'!D$8-A60)&lt;0,1,""))</f>
        <v/>
      </c>
      <c r="D59" s="68" t="str">
        <f>IF(C59=1,(B59*(A60-'F2'!D$8)+B60*('F2'!D$8-A59))/(A60-A59),"")</f>
        <v/>
      </c>
      <c r="G59" s="75">
        <v>0.32240000000000002</v>
      </c>
      <c r="H59" s="75">
        <v>5.3600000000000002E-2</v>
      </c>
      <c r="I59" s="78"/>
      <c r="J59" s="79"/>
      <c r="V59" s="28"/>
      <c r="W59" s="28"/>
      <c r="X59" s="28"/>
      <c r="Y59" s="28"/>
    </row>
    <row r="60" spans="1:25" x14ac:dyDescent="0.25">
      <c r="A60" s="71">
        <v>45</v>
      </c>
      <c r="B60" s="77">
        <v>583.6</v>
      </c>
      <c r="C60" s="17">
        <f>IF('F2'!D$8=A60,1,IF(('F2'!D$8-A60)*('F2'!D$8-A61)&lt;0,1,""))</f>
        <v>1</v>
      </c>
      <c r="D60" s="68">
        <f>IF(C60=1,(B60*(A61-'F2'!D$8)+B61*('F2'!D$8-A60))/(A61-A60),"")</f>
        <v>583.6</v>
      </c>
      <c r="G60" s="75">
        <v>0.34210000000000002</v>
      </c>
      <c r="H60" s="75">
        <v>5.0599999999999999E-2</v>
      </c>
      <c r="I60" s="78"/>
      <c r="J60" s="79"/>
      <c r="V60" s="28"/>
      <c r="W60" s="28"/>
      <c r="X60" s="28"/>
      <c r="Y60" s="28"/>
    </row>
    <row r="61" spans="1:25" x14ac:dyDescent="0.25">
      <c r="A61" s="71">
        <v>46</v>
      </c>
      <c r="B61" s="77">
        <v>583.20000000000005</v>
      </c>
      <c r="C61" s="17" t="str">
        <f>IF('F2'!D$8=A61,1,IF(('F2'!D$8-A61)*('F2'!D$8-A62)&lt;0,1,""))</f>
        <v/>
      </c>
      <c r="D61" s="68" t="str">
        <f>IF(C61=1,(B61*(A62-'F2'!D$8)+B62*('F2'!D$8-A61))/(A62-A61),"")</f>
        <v/>
      </c>
      <c r="G61" s="75">
        <v>0.35870000000000002</v>
      </c>
      <c r="H61" s="75">
        <v>4.82E-2</v>
      </c>
      <c r="I61" s="78"/>
      <c r="J61" s="79"/>
      <c r="V61" s="28"/>
      <c r="W61" s="28"/>
      <c r="X61" s="28"/>
      <c r="Y61" s="28"/>
    </row>
    <row r="62" spans="1:25" x14ac:dyDescent="0.25">
      <c r="A62" s="71">
        <v>47</v>
      </c>
      <c r="B62" s="77">
        <v>582.79999999999995</v>
      </c>
      <c r="C62" s="17" t="str">
        <f>IF('F2'!D$8=A62,1,IF(('F2'!D$8-A62)*('F2'!D$8-A63)&lt;0,1,""))</f>
        <v/>
      </c>
      <c r="D62" s="68" t="str">
        <f>IF(C62=1,(B62*(A63-'F2'!D$8)+B63*('F2'!D$8-A62))/(A63-A62),"")</f>
        <v/>
      </c>
      <c r="G62" s="75">
        <v>0.373</v>
      </c>
      <c r="H62" s="75">
        <v>4.5999999999999999E-2</v>
      </c>
      <c r="I62" s="78"/>
      <c r="J62" s="79"/>
      <c r="V62" s="28"/>
      <c r="W62" s="28"/>
      <c r="X62" s="28"/>
      <c r="Y62" s="28"/>
    </row>
    <row r="63" spans="1:25" x14ac:dyDescent="0.25">
      <c r="A63" s="71">
        <v>48</v>
      </c>
      <c r="B63" s="77">
        <v>582.5</v>
      </c>
      <c r="C63" s="17" t="str">
        <f>IF('F2'!D$8=A63,1,IF(('F2'!D$8-A63)*('F2'!D$8-A64)&lt;0,1,""))</f>
        <v/>
      </c>
      <c r="D63" s="68" t="str">
        <f>IF(C63=1,(B63*(A64-'F2'!D$8)+B64*('F2'!D$8-A63))/(A64-A63),"")</f>
        <v/>
      </c>
      <c r="G63" s="75">
        <v>0.38519999999999999</v>
      </c>
      <c r="H63" s="75">
        <v>4.4200000000000003E-2</v>
      </c>
      <c r="I63" s="78"/>
      <c r="J63" s="79"/>
      <c r="V63" s="28"/>
      <c r="W63" s="28"/>
      <c r="X63" s="28"/>
      <c r="Y63" s="28"/>
    </row>
    <row r="64" spans="1:25" x14ac:dyDescent="0.25">
      <c r="A64" s="71">
        <v>49</v>
      </c>
      <c r="B64" s="77">
        <v>582.1</v>
      </c>
      <c r="C64" s="17" t="str">
        <f>IF('F2'!D$8=A64,1,IF(('F2'!D$8-A64)*('F2'!D$8-A65)&lt;0,1,""))</f>
        <v/>
      </c>
      <c r="D64" s="68" t="str">
        <f>IF(C64=1,(B64*(A65-'F2'!D$8)+B65*('F2'!D$8-A64))/(A65-A64),"")</f>
        <v/>
      </c>
      <c r="G64" s="75">
        <v>0.39510000000000001</v>
      </c>
      <c r="H64" s="75">
        <v>4.2700000000000002E-2</v>
      </c>
      <c r="I64" s="78"/>
      <c r="J64" s="79"/>
      <c r="V64" s="28"/>
      <c r="W64" s="28"/>
      <c r="X64" s="28"/>
      <c r="Y64" s="28"/>
    </row>
    <row r="65" spans="1:25" x14ac:dyDescent="0.25">
      <c r="A65" s="71">
        <v>50</v>
      </c>
      <c r="B65" s="77">
        <v>581.70000000000005</v>
      </c>
      <c r="C65" s="17" t="str">
        <f>IF('F2'!D$8=A65,1,IF(('F2'!D$8-A65)*('F2'!D$8-A66)&lt;0,1,""))</f>
        <v/>
      </c>
      <c r="D65" s="68" t="str">
        <f>IF(C65=1,(B65*(A66-'F2'!D$8)+B66*('F2'!D$8-A65))/(A66-A65),"")</f>
        <v/>
      </c>
      <c r="G65" s="75">
        <v>0.40260000000000001</v>
      </c>
      <c r="H65" s="75">
        <v>4.1599999999999998E-2</v>
      </c>
      <c r="I65" s="78"/>
      <c r="J65" s="79"/>
      <c r="V65" s="28"/>
      <c r="W65" s="28"/>
      <c r="X65" s="28"/>
      <c r="Y65" s="28"/>
    </row>
    <row r="66" spans="1:25" x14ac:dyDescent="0.25">
      <c r="A66" s="71">
        <v>51</v>
      </c>
      <c r="B66" s="77">
        <v>581.4</v>
      </c>
      <c r="C66" s="17" t="str">
        <f>IF('F2'!D$8=A66,1,IF(('F2'!D$8-A66)*('F2'!D$8-A67)&lt;0,1,""))</f>
        <v/>
      </c>
      <c r="D66" s="68" t="str">
        <f>IF(C66=1,(B66*(A67-'F2'!D$8)+B67*('F2'!D$8-A66))/(A67-A66),"")</f>
        <v/>
      </c>
      <c r="G66" s="75">
        <v>0.40849999999999997</v>
      </c>
      <c r="H66" s="75">
        <v>4.07E-2</v>
      </c>
      <c r="I66" s="70"/>
      <c r="V66" s="28"/>
      <c r="W66" s="28"/>
      <c r="X66" s="28"/>
      <c r="Y66" s="28"/>
    </row>
    <row r="67" spans="1:25" x14ac:dyDescent="0.25">
      <c r="A67" s="71">
        <v>52</v>
      </c>
      <c r="B67" s="77">
        <v>581</v>
      </c>
      <c r="C67" s="17" t="str">
        <f>IF('F2'!D$8=A67,1,IF(('F2'!D$8-A67)*('F2'!D$8-A68)&lt;0,1,""))</f>
        <v/>
      </c>
      <c r="D67" s="68" t="str">
        <f>IF(C67=1,(B67*(A68-'F2'!D$8)+B68*('F2'!D$8-A67))/(A68-A67),"")</f>
        <v/>
      </c>
      <c r="G67" s="75">
        <v>0.41299999999999998</v>
      </c>
      <c r="H67" s="75">
        <v>0.04</v>
      </c>
      <c r="I67" s="70"/>
      <c r="V67" s="28"/>
      <c r="W67" s="28"/>
      <c r="X67" s="28"/>
      <c r="Y67" s="28"/>
    </row>
    <row r="68" spans="1:25" x14ac:dyDescent="0.25">
      <c r="A68" s="71">
        <v>53</v>
      </c>
      <c r="B68" s="77">
        <v>580.70000000000005</v>
      </c>
      <c r="C68" s="17" t="str">
        <f>IF('F2'!D$8=A68,1,IF(('F2'!D$8-A68)*('F2'!D$8-A69)&lt;0,1,""))</f>
        <v/>
      </c>
      <c r="D68" s="68" t="str">
        <f>IF(C68=1,(B68*(A69-'F2'!D$8)+B69*('F2'!D$8-A68))/(A69-A68),"")</f>
        <v/>
      </c>
      <c r="G68" s="75">
        <v>0.41589999999999999</v>
      </c>
      <c r="H68" s="75">
        <v>3.9600000000000003E-2</v>
      </c>
      <c r="I68" s="70"/>
      <c r="V68" s="28"/>
      <c r="W68" s="28"/>
      <c r="X68" s="28"/>
      <c r="Y68" s="28"/>
    </row>
    <row r="69" spans="1:25" x14ac:dyDescent="0.25">
      <c r="A69" s="71">
        <v>54</v>
      </c>
      <c r="B69" s="77">
        <v>580.29999999999995</v>
      </c>
      <c r="C69" s="17" t="str">
        <f>IF('F2'!D$8=A69,1,IF(('F2'!D$8-A69)*('F2'!D$8-A70)&lt;0,1,""))</f>
        <v/>
      </c>
      <c r="D69" s="68" t="str">
        <f>IF(C69=1,(B69*(A70-'F2'!D$8)+B70*('F2'!D$8-A69))/(A70-A69),"")</f>
        <v/>
      </c>
      <c r="G69" s="75">
        <v>0.41830000000000001</v>
      </c>
      <c r="H69" s="75">
        <v>3.9199999999999999E-2</v>
      </c>
      <c r="I69" s="78"/>
      <c r="J69" s="79"/>
      <c r="V69" s="28"/>
      <c r="W69" s="28"/>
      <c r="X69" s="28"/>
      <c r="Y69" s="28"/>
    </row>
    <row r="70" spans="1:25" x14ac:dyDescent="0.25">
      <c r="A70" s="71">
        <v>55</v>
      </c>
      <c r="B70" s="77">
        <v>580</v>
      </c>
      <c r="C70" s="17" t="str">
        <f>IF('F2'!D$8=A70,1,IF(('F2'!D$8-A70)*('F2'!D$8-A71)&lt;0,1,""))</f>
        <v/>
      </c>
      <c r="D70" s="68" t="str">
        <f>IF(C70=1,(B70*(A71-'F2'!D$8)+B71*('F2'!D$8-A70))/(A71-A70),"")</f>
        <v/>
      </c>
      <c r="G70" s="75">
        <v>0.42020000000000002</v>
      </c>
      <c r="H70" s="75">
        <v>3.8899999999999997E-2</v>
      </c>
      <c r="I70" s="78"/>
      <c r="J70" s="79"/>
      <c r="V70" s="28"/>
      <c r="W70" s="28"/>
      <c r="X70" s="28"/>
      <c r="Y70" s="28"/>
    </row>
    <row r="71" spans="1:25" x14ac:dyDescent="0.25">
      <c r="A71" s="71">
        <v>56</v>
      </c>
      <c r="B71" s="77">
        <v>579.70000000000005</v>
      </c>
      <c r="C71" s="17" t="str">
        <f>IF('F2'!D$8=A71,1,IF(('F2'!D$8-A71)*('F2'!D$8-A72)&lt;0,1,""))</f>
        <v/>
      </c>
      <c r="D71" s="68" t="str">
        <f>IF(C71=1,(B71*(A72-'F2'!D$8)+B72*('F2'!D$8-A71))/(A72-A71),"")</f>
        <v/>
      </c>
      <c r="G71" s="75">
        <v>0.42209999999999998</v>
      </c>
      <c r="H71" s="75">
        <v>3.8699999999999998E-2</v>
      </c>
      <c r="I71" s="78"/>
      <c r="J71" s="80"/>
      <c r="V71" s="28"/>
      <c r="W71" s="28"/>
      <c r="X71" s="28"/>
      <c r="Y71" s="28"/>
    </row>
    <row r="72" spans="1:25" x14ac:dyDescent="0.25">
      <c r="A72" s="71">
        <v>57</v>
      </c>
      <c r="B72" s="77">
        <v>579.29999999999995</v>
      </c>
      <c r="C72" s="17" t="str">
        <f>IF('F2'!D$8=A72,1,IF(('F2'!D$8-A72)*('F2'!D$8-A73)&lt;0,1,""))</f>
        <v/>
      </c>
      <c r="D72" s="68" t="str">
        <f>IF(C72=1,(B72*(A73-'F2'!D$8)+B73*('F2'!D$8-A72))/(A73-A72),"")</f>
        <v/>
      </c>
      <c r="G72" s="75">
        <v>0.42380000000000001</v>
      </c>
      <c r="H72" s="75">
        <v>3.8399999999999997E-2</v>
      </c>
      <c r="I72" s="70"/>
      <c r="V72" s="28"/>
      <c r="W72" s="28"/>
      <c r="X72" s="28"/>
      <c r="Y72" s="28"/>
    </row>
    <row r="73" spans="1:25" x14ac:dyDescent="0.25">
      <c r="A73" s="71">
        <v>58</v>
      </c>
      <c r="B73" s="77">
        <v>579</v>
      </c>
      <c r="C73" s="17" t="str">
        <f>IF('F2'!D$8=A73,1,IF(('F2'!D$8-A73)*('F2'!D$8-A74)&lt;0,1,""))</f>
        <v/>
      </c>
      <c r="D73" s="68" t="str">
        <f>IF(C73=1,(B73*(A74-'F2'!D$8)+B74*('F2'!D$8-A73))/(A74-A73),"")</f>
        <v/>
      </c>
      <c r="G73" s="75">
        <v>0.42470000000000002</v>
      </c>
      <c r="H73" s="75">
        <v>3.8300000000000001E-2</v>
      </c>
      <c r="I73" s="70"/>
      <c r="V73" s="28"/>
      <c r="W73" s="28"/>
      <c r="X73" s="28"/>
      <c r="Y73" s="28"/>
    </row>
    <row r="74" spans="1:25" x14ac:dyDescent="0.25">
      <c r="A74" s="71">
        <v>59</v>
      </c>
      <c r="B74" s="77">
        <v>578.70000000000005</v>
      </c>
      <c r="C74" s="17" t="str">
        <f>IF('F2'!D$8=A74,1,IF(('F2'!D$8-A74)*('F2'!D$8-A75)&lt;0,1,""))</f>
        <v/>
      </c>
      <c r="D74" s="68" t="str">
        <f>IF(C74=1,(B74*(A75-'F2'!D$8)+B75*('F2'!D$8-A74))/(A75-A74),"")</f>
        <v/>
      </c>
      <c r="G74" s="75">
        <v>0.42530000000000001</v>
      </c>
      <c r="H74" s="75">
        <v>3.8199999999999998E-2</v>
      </c>
      <c r="I74" s="70"/>
      <c r="V74" s="28"/>
      <c r="W74" s="28"/>
      <c r="X74" s="28"/>
      <c r="Y74" s="28"/>
    </row>
    <row r="75" spans="1:25" x14ac:dyDescent="0.25">
      <c r="A75" s="71">
        <v>60</v>
      </c>
      <c r="B75" s="77">
        <v>578.4</v>
      </c>
      <c r="C75" s="17" t="str">
        <f>IF('F2'!D$8=A75,1,IF(('F2'!D$8-A75)*('F2'!D$8-A76)&lt;0,1,""))</f>
        <v/>
      </c>
      <c r="D75" s="68" t="str">
        <f>IF(C75=1,(B75*(A76-'F2'!D$8)+B76*('F2'!D$8-A75))/(A76-A75),"")</f>
        <v/>
      </c>
      <c r="G75" s="75">
        <v>0.42549999999999999</v>
      </c>
      <c r="H75" s="75">
        <v>3.8199999999999998E-2</v>
      </c>
      <c r="I75" s="70"/>
      <c r="V75" s="28"/>
      <c r="W75" s="28"/>
      <c r="X75" s="28"/>
      <c r="Y75" s="28"/>
    </row>
    <row r="76" spans="1:25" x14ac:dyDescent="0.25">
      <c r="A76" s="71">
        <v>61</v>
      </c>
      <c r="B76" s="77">
        <v>578.1</v>
      </c>
      <c r="C76" s="17" t="str">
        <f>IF('F2'!D$8=A76,1,IF(('F2'!D$8-A76)*('F2'!D$8-A77)&lt;0,1,""))</f>
        <v/>
      </c>
      <c r="D76" s="68" t="str">
        <f>IF(C76=1,(B76*(A77-'F2'!D$8)+B77*('F2'!D$8-A76))/(A77-A76),"")</f>
        <v/>
      </c>
      <c r="G76" s="75">
        <v>0.42549999999999999</v>
      </c>
      <c r="H76" s="75">
        <v>3.8199999999999998E-2</v>
      </c>
      <c r="I76" s="70"/>
      <c r="V76" s="28"/>
      <c r="W76" s="28"/>
      <c r="X76" s="28"/>
      <c r="Y76" s="28"/>
    </row>
    <row r="77" spans="1:25" x14ac:dyDescent="0.25">
      <c r="A77" s="71">
        <v>62</v>
      </c>
      <c r="B77" s="77">
        <v>577.70000000000005</v>
      </c>
      <c r="C77" s="17" t="str">
        <f>IF('F2'!D$8=A77,1,IF(('F2'!D$8-A77)*('F2'!D$8-A78)&lt;0,1,""))</f>
        <v/>
      </c>
      <c r="D77" s="68" t="str">
        <f>IF(C77=1,(B77*(A78-'F2'!D$8)+B78*('F2'!D$8-A77))/(A78-A77),"")</f>
        <v/>
      </c>
      <c r="G77" s="75">
        <v>0.42549999999999999</v>
      </c>
      <c r="H77" s="75">
        <v>3.8199999999999998E-2</v>
      </c>
      <c r="I77" s="70"/>
      <c r="V77" s="28"/>
      <c r="W77" s="28"/>
      <c r="X77" s="28"/>
      <c r="Y77" s="28"/>
    </row>
    <row r="78" spans="1:25" x14ac:dyDescent="0.25">
      <c r="A78" s="71">
        <v>63</v>
      </c>
      <c r="B78" s="77">
        <v>577.4</v>
      </c>
      <c r="C78" s="17" t="str">
        <f>IF('F2'!D$8=A78,1,IF(('F2'!D$8-A78)*('F2'!D$8-A79)&lt;0,1,""))</f>
        <v/>
      </c>
      <c r="D78" s="68" t="str">
        <f>IF(C78=1,(B78*(A79-'F2'!D$8)+B79*('F2'!D$8-A78))/(A79-A78),"")</f>
        <v/>
      </c>
      <c r="G78" s="75">
        <v>0.42549999999999999</v>
      </c>
      <c r="H78" s="75">
        <v>3.8199999999999998E-2</v>
      </c>
      <c r="I78" s="70"/>
      <c r="V78" s="28"/>
      <c r="W78" s="28"/>
      <c r="X78" s="28"/>
      <c r="Y78" s="28"/>
    </row>
    <row r="79" spans="1:25" x14ac:dyDescent="0.25">
      <c r="A79" s="71">
        <v>64</v>
      </c>
      <c r="B79" s="77">
        <v>577.1</v>
      </c>
      <c r="C79" s="17" t="str">
        <f>IF('F2'!D$8=A79,1,IF(('F2'!D$8-A79)*('F2'!D$8-A80)&lt;0,1,""))</f>
        <v/>
      </c>
      <c r="D79" s="68" t="str">
        <f>IF(C79=1,(B79*(A80-'F2'!D$8)+B80*('F2'!D$8-A79))/(A80-A79),"")</f>
        <v/>
      </c>
      <c r="G79" s="75">
        <v>0.42549999999999999</v>
      </c>
      <c r="H79" s="75">
        <v>3.8199999999999998E-2</v>
      </c>
      <c r="I79" s="70"/>
      <c r="V79" s="28"/>
      <c r="W79" s="28"/>
      <c r="X79" s="28"/>
      <c r="Y79" s="28"/>
    </row>
    <row r="80" spans="1:25" x14ac:dyDescent="0.25">
      <c r="A80" s="71">
        <v>65</v>
      </c>
      <c r="B80" s="77">
        <v>576.79999999999995</v>
      </c>
      <c r="C80" s="17" t="str">
        <f>IF('F2'!D$8=A80,1,IF(('F2'!D$8-A80)*('F2'!D$8-A81)&lt;0,1,""))</f>
        <v/>
      </c>
      <c r="D80" s="68" t="str">
        <f>IF(C80=1,(B80*(A81-'F2'!D$8)+B81*('F2'!D$8-A80))/(A81-A80),"")</f>
        <v/>
      </c>
      <c r="G80" s="75">
        <v>0.42549999999999999</v>
      </c>
      <c r="H80" s="75">
        <v>3.8199999999999998E-2</v>
      </c>
      <c r="I80" s="70"/>
      <c r="V80" s="28"/>
      <c r="W80" s="28"/>
      <c r="X80" s="28"/>
      <c r="Y80" s="28"/>
    </row>
    <row r="81" spans="1:25" x14ac:dyDescent="0.25">
      <c r="A81" s="71">
        <v>66</v>
      </c>
      <c r="B81" s="77">
        <v>576.5</v>
      </c>
      <c r="C81" s="17" t="str">
        <f>IF('F2'!D$8=A81,1,IF(('F2'!D$8-A81)*('F2'!D$8-A82)&lt;0,1,""))</f>
        <v/>
      </c>
      <c r="D81" s="68" t="str">
        <f>IF(C81=1,(B81*(A82-'F2'!D$8)+B82*('F2'!D$8-A81))/(A82-A81),"")</f>
        <v/>
      </c>
      <c r="G81" s="75">
        <v>0.42549999999999999</v>
      </c>
      <c r="H81" s="75">
        <v>3.8199999999999998E-2</v>
      </c>
      <c r="I81" s="70"/>
      <c r="V81" s="28"/>
      <c r="W81" s="28"/>
      <c r="X81" s="28"/>
      <c r="Y81" s="28"/>
    </row>
    <row r="82" spans="1:25" x14ac:dyDescent="0.25">
      <c r="A82" s="71">
        <v>67</v>
      </c>
      <c r="B82" s="77">
        <v>576.20000000000005</v>
      </c>
      <c r="C82" s="17" t="str">
        <f>IF('F2'!D$8=A82,1,IF(('F2'!D$8-A82)*('F2'!D$8-A83)&lt;0,1,""))</f>
        <v/>
      </c>
      <c r="D82" s="68" t="str">
        <f>IF(C82=1,(B82*(A83-'F2'!D$8)+B83*('F2'!D$8-A82))/(A83-A82),"")</f>
        <v/>
      </c>
      <c r="G82" s="75">
        <v>0.42549999999999999</v>
      </c>
      <c r="H82" s="75">
        <v>3.8199999999999998E-2</v>
      </c>
      <c r="I82" s="70"/>
      <c r="V82" s="28"/>
      <c r="W82" s="28"/>
      <c r="X82" s="28"/>
      <c r="Y82" s="28"/>
    </row>
    <row r="83" spans="1:25" x14ac:dyDescent="0.25">
      <c r="A83" s="71">
        <v>68</v>
      </c>
      <c r="B83" s="77">
        <v>575.9</v>
      </c>
      <c r="C83" s="17" t="str">
        <f>IF('F2'!D$8=A83,1,IF(('F2'!D$8-A83)*('F2'!D$8-A84)&lt;0,1,""))</f>
        <v/>
      </c>
      <c r="D83" s="68" t="str">
        <f>IF(C83=1,(B83*(A84-'F2'!D$8)+B84*('F2'!D$8-A83))/(A84-A83),"")</f>
        <v/>
      </c>
      <c r="G83" s="75">
        <v>0.42549999999999999</v>
      </c>
      <c r="H83" s="75">
        <v>3.8199999999999998E-2</v>
      </c>
      <c r="I83" s="70"/>
      <c r="V83" s="28"/>
      <c r="W83" s="28"/>
      <c r="X83" s="28"/>
      <c r="Y83" s="28"/>
    </row>
    <row r="84" spans="1:25" x14ac:dyDescent="0.25">
      <c r="A84" s="71">
        <v>69</v>
      </c>
      <c r="B84" s="77">
        <v>575.6</v>
      </c>
      <c r="C84" s="17" t="str">
        <f>IF('F2'!D$8=A84,1,IF(('F2'!D$8-A84)*('F2'!D$8-A85)&lt;0,1,""))</f>
        <v/>
      </c>
      <c r="D84" s="68" t="str">
        <f>IF(C84=1,(B84*(A85-'F2'!D$8)+B85*('F2'!D$8-A84))/(A85-A84),"")</f>
        <v/>
      </c>
      <c r="G84" s="75">
        <v>0.42549999999999999</v>
      </c>
      <c r="H84" s="75">
        <v>3.8199999999999998E-2</v>
      </c>
      <c r="I84" s="70"/>
      <c r="V84" s="28"/>
      <c r="W84" s="28"/>
      <c r="X84" s="28"/>
      <c r="Y84" s="28"/>
    </row>
    <row r="85" spans="1:25" x14ac:dyDescent="0.25">
      <c r="A85" s="71">
        <v>70</v>
      </c>
      <c r="B85" s="77">
        <v>575.29999999999995</v>
      </c>
      <c r="C85" s="17" t="str">
        <f>IF('F2'!D$8=A85,1,IF(('F2'!D$8-A85)*('F2'!D$8-A86)&lt;0,1,""))</f>
        <v/>
      </c>
      <c r="D85" s="68" t="str">
        <f>IF(C85=1,(B85*(A86-'F2'!D$8)+B86*('F2'!D$8-A85))/(A86-A85),"")</f>
        <v/>
      </c>
      <c r="G85" s="75">
        <v>0.42549999999999999</v>
      </c>
      <c r="H85" s="75">
        <v>3.8199999999999998E-2</v>
      </c>
      <c r="I85" s="70"/>
      <c r="V85" s="28"/>
      <c r="W85" s="28"/>
      <c r="X85" s="28"/>
      <c r="Y85" s="28"/>
    </row>
    <row r="86" spans="1:25" x14ac:dyDescent="0.25">
      <c r="A86" s="71">
        <v>71</v>
      </c>
      <c r="B86" s="77">
        <v>575</v>
      </c>
      <c r="C86" s="17" t="str">
        <f>IF('F2'!D$8=A86,1,IF(('F2'!D$8-A86)*('F2'!D$8-A87)&lt;0,1,""))</f>
        <v/>
      </c>
      <c r="D86" s="68" t="str">
        <f>IF(C86=1,(B86*(A87-'F2'!D$8)+B87*('F2'!D$8-A86))/(A87-A86),"")</f>
        <v/>
      </c>
      <c r="G86" s="75">
        <v>0.42549999999999999</v>
      </c>
      <c r="H86" s="75">
        <v>3.8199999999999998E-2</v>
      </c>
      <c r="I86" s="70"/>
      <c r="V86" s="28"/>
      <c r="W86" s="28"/>
      <c r="X86" s="28"/>
      <c r="Y86" s="28"/>
    </row>
    <row r="87" spans="1:25" x14ac:dyDescent="0.25">
      <c r="A87" s="71">
        <v>72</v>
      </c>
      <c r="B87" s="77">
        <v>574.70000000000005</v>
      </c>
      <c r="C87" s="17" t="str">
        <f>IF('F2'!D$8=A87,1,IF(('F2'!D$8-A87)*('F2'!D$8-A88)&lt;0,1,""))</f>
        <v/>
      </c>
      <c r="D87" s="68" t="str">
        <f>IF(C87=1,(B87*(A88-'F2'!D$8)+B88*('F2'!D$8-A87))/(A88-A87),"")</f>
        <v/>
      </c>
      <c r="G87" s="75">
        <v>0.42549999999999999</v>
      </c>
      <c r="H87" s="75">
        <v>3.8199999999999998E-2</v>
      </c>
      <c r="I87" s="70"/>
      <c r="V87" s="28"/>
      <c r="W87" s="28"/>
      <c r="X87" s="28"/>
      <c r="Y87" s="28"/>
    </row>
    <row r="88" spans="1:25" x14ac:dyDescent="0.25">
      <c r="A88" s="71">
        <v>73</v>
      </c>
      <c r="B88" s="77">
        <v>574.4</v>
      </c>
      <c r="C88" s="17" t="str">
        <f>IF('F2'!D$8=A88,1,IF(('F2'!D$8-A88)*('F2'!D$8-A89)&lt;0,1,""))</f>
        <v/>
      </c>
      <c r="D88" s="68" t="str">
        <f>IF(C88=1,(B88*(A89-'F2'!D$8)+B89*('F2'!D$8-A88))/(A89-A88),"")</f>
        <v/>
      </c>
      <c r="G88" s="75">
        <v>0.42549999999999999</v>
      </c>
      <c r="H88" s="75">
        <v>3.8199999999999998E-2</v>
      </c>
      <c r="I88" s="70"/>
      <c r="V88" s="28"/>
      <c r="W88" s="28"/>
      <c r="X88" s="28"/>
      <c r="Y88" s="28"/>
    </row>
    <row r="89" spans="1:25" x14ac:dyDescent="0.25">
      <c r="A89" s="71">
        <v>74</v>
      </c>
      <c r="B89" s="77">
        <v>574.1</v>
      </c>
      <c r="C89" s="17" t="str">
        <f>IF('F2'!D$8=A89,1,IF(('F2'!D$8-A89)*('F2'!D$8-A90)&lt;0,1,""))</f>
        <v/>
      </c>
      <c r="D89" s="68" t="str">
        <f>IF(C89=1,(B89*(A90-'F2'!D$8)+B90*('F2'!D$8-A89))/(A90-A89),"")</f>
        <v/>
      </c>
      <c r="G89" s="75">
        <v>0.42549999999999999</v>
      </c>
      <c r="H89" s="75">
        <v>3.8199999999999998E-2</v>
      </c>
      <c r="I89" s="70"/>
      <c r="V89" s="28"/>
      <c r="W89" s="28"/>
      <c r="X89" s="28"/>
      <c r="Y89" s="28"/>
    </row>
    <row r="90" spans="1:25" x14ac:dyDescent="0.25">
      <c r="A90" s="71">
        <v>75</v>
      </c>
      <c r="B90" s="77">
        <v>573.79999999999995</v>
      </c>
      <c r="C90" s="17" t="str">
        <f>IF('F2'!D$8=A90,1,IF(('F2'!D$8-A90)*('F2'!D$8-A91)&lt;0,1,""))</f>
        <v/>
      </c>
      <c r="D90" s="68" t="str">
        <f>IF(C90=1,(B90*(A91-'F2'!D$8)+B91*('F2'!D$8-A90))/(A91-A90),"")</f>
        <v/>
      </c>
      <c r="G90" s="75">
        <v>0.42549999999999999</v>
      </c>
      <c r="H90" s="75">
        <v>3.8199999999999998E-2</v>
      </c>
      <c r="I90" s="70"/>
      <c r="V90" s="28"/>
      <c r="W90" s="28"/>
      <c r="X90" s="28"/>
      <c r="Y90" s="28"/>
    </row>
    <row r="91" spans="1:25" x14ac:dyDescent="0.25">
      <c r="A91" s="71">
        <v>76</v>
      </c>
      <c r="B91" s="77">
        <v>573.5</v>
      </c>
      <c r="C91" s="17" t="str">
        <f>IF('F2'!D$8=A91,1,IF(('F2'!D$8-A91)*('F2'!D$8-A92)&lt;0,1,""))</f>
        <v/>
      </c>
      <c r="D91" s="68" t="str">
        <f>IF(C91=1,(B91*(A92-'F2'!D$8)+B92*('F2'!D$8-A91))/(A92-A91),"")</f>
        <v/>
      </c>
      <c r="G91" s="75">
        <v>0.42549999999999999</v>
      </c>
      <c r="H91" s="75">
        <v>3.8199999999999998E-2</v>
      </c>
      <c r="I91" s="70"/>
      <c r="V91" s="28"/>
      <c r="W91" s="28"/>
      <c r="X91" s="28"/>
      <c r="Y91" s="28"/>
    </row>
    <row r="92" spans="1:25" x14ac:dyDescent="0.25">
      <c r="A92" s="71">
        <v>77</v>
      </c>
      <c r="B92" s="77">
        <v>573.20000000000005</v>
      </c>
      <c r="C92" s="17" t="str">
        <f>IF('F2'!D$8=A92,1,IF(('F2'!D$8-A92)*('F2'!D$8-A93)&lt;0,1,""))</f>
        <v/>
      </c>
      <c r="D92" s="68" t="str">
        <f>IF(C92=1,(B92*(A93-'F2'!D$8)+B93*('F2'!D$8-A92))/(A93-A92),"")</f>
        <v/>
      </c>
      <c r="G92" s="75">
        <v>5.8999999999999997E-2</v>
      </c>
      <c r="H92" s="75">
        <v>-0.45190000000000002</v>
      </c>
      <c r="I92" s="70"/>
    </row>
    <row r="93" spans="1:25" x14ac:dyDescent="0.25">
      <c r="A93" s="71">
        <v>78</v>
      </c>
      <c r="B93" s="77">
        <v>572.9</v>
      </c>
      <c r="C93" s="17" t="str">
        <f>IF('F2'!D$8=A93,1,IF(('F2'!D$8-A93)*('F2'!D$8-A94)&lt;0,1,""))</f>
        <v/>
      </c>
      <c r="D93" s="68" t="str">
        <f>IF(C93=1,(B93*(A94-'F2'!D$8)+B94*('F2'!D$8-A93))/(A94-A93),"")</f>
        <v/>
      </c>
    </row>
    <row r="94" spans="1:25" x14ac:dyDescent="0.25">
      <c r="A94" s="71">
        <v>79</v>
      </c>
      <c r="B94" s="77">
        <v>572.6</v>
      </c>
      <c r="C94" s="17" t="str">
        <f>IF('F2'!D$8=A94,1,IF(('F2'!D$8-A94)*('F2'!D$8-A95)&lt;0,1,""))</f>
        <v/>
      </c>
      <c r="D94" s="68" t="str">
        <f>IF(C94=1,(B94*(A95-'F2'!D$8)+B95*('F2'!D$8-A94))/(A95-A94),"")</f>
        <v/>
      </c>
    </row>
    <row r="95" spans="1:25" x14ac:dyDescent="0.25">
      <c r="A95" s="71">
        <v>80</v>
      </c>
      <c r="B95" s="77">
        <v>572.29999999999995</v>
      </c>
      <c r="C95" s="17" t="str">
        <f>IF('F2'!D$8=A95,1,IF(('F2'!D$8-A95)*('F2'!D$8-A96)&lt;0,1,""))</f>
        <v/>
      </c>
      <c r="D95" s="68" t="str">
        <f>IF(C95=1,(B95*(A96-'F2'!D$8)+B96*('F2'!D$8-A95))/(A96-A95),"")</f>
        <v/>
      </c>
    </row>
    <row r="96" spans="1:25" x14ac:dyDescent="0.25">
      <c r="A96" s="71">
        <v>81</v>
      </c>
      <c r="B96" s="77">
        <v>572</v>
      </c>
      <c r="C96" s="17" t="str">
        <f>IF('F2'!D$8=A96,1,IF(('F2'!D$8-A96)*('F2'!D$8-A97)&lt;0,1,""))</f>
        <v/>
      </c>
      <c r="D96" s="68" t="str">
        <f>IF(C96=1,(B96*(A97-'F2'!D$8)+B97*('F2'!D$8-A96))/(A97-A96),"")</f>
        <v/>
      </c>
    </row>
    <row r="97" spans="1:4" x14ac:dyDescent="0.25">
      <c r="A97" s="71">
        <v>82</v>
      </c>
      <c r="B97" s="77">
        <v>571.70000000000005</v>
      </c>
      <c r="C97" s="17" t="str">
        <f>IF('F2'!D$8=A97,1,IF(('F2'!D$8-A97)*('F2'!D$8-A98)&lt;0,1,""))</f>
        <v/>
      </c>
      <c r="D97" s="68" t="str">
        <f>IF(C97=1,(B97*(A98-'F2'!D$8)+B98*('F2'!D$8-A97))/(A98-A97),"")</f>
        <v/>
      </c>
    </row>
    <row r="98" spans="1:4" x14ac:dyDescent="0.25">
      <c r="A98" s="71">
        <v>83</v>
      </c>
      <c r="B98" s="77">
        <v>571.4</v>
      </c>
      <c r="C98" s="17" t="str">
        <f>IF('F2'!D$8=A98,1,IF(('F2'!D$8-A98)*('F2'!D$8-A99)&lt;0,1,""))</f>
        <v/>
      </c>
      <c r="D98" s="68" t="str">
        <f>IF(C98=1,(B98*(A99-'F2'!D$8)+B99*('F2'!D$8-A98))/(A99-A98),"")</f>
        <v/>
      </c>
    </row>
    <row r="99" spans="1:4" x14ac:dyDescent="0.25">
      <c r="A99" s="71">
        <v>84</v>
      </c>
      <c r="B99" s="77">
        <v>571</v>
      </c>
      <c r="C99" s="17" t="str">
        <f>IF('F2'!D$8=A99,1,IF(('F2'!D$8-A99)*('F2'!D$8-A100)&lt;0,1,""))</f>
        <v/>
      </c>
      <c r="D99" s="68" t="str">
        <f>IF(C99=1,(B99*(A100-'F2'!D$8)+B100*('F2'!D$8-A99))/(A100-A99),"")</f>
        <v/>
      </c>
    </row>
    <row r="100" spans="1:4" x14ac:dyDescent="0.25">
      <c r="A100" s="71">
        <v>85</v>
      </c>
      <c r="B100" s="77">
        <v>570.70000000000005</v>
      </c>
      <c r="C100" s="17" t="str">
        <f>IF('F2'!D$8=A100,1,IF(('F2'!D$8-A100)*('F2'!D$8-A101)&lt;0,1,""))</f>
        <v/>
      </c>
      <c r="D100" s="68" t="str">
        <f>IF(C100=1,(B100*(A101-'F2'!D$8)+B101*('F2'!D$8-A100))/(A101-A100),"")</f>
        <v/>
      </c>
    </row>
    <row r="101" spans="1:4" x14ac:dyDescent="0.25">
      <c r="A101" s="71">
        <v>86</v>
      </c>
      <c r="B101" s="77">
        <v>570.4</v>
      </c>
      <c r="C101" s="17" t="str">
        <f>IF('F2'!D$8=A101,1,IF(('F2'!D$8-A101)*('F2'!D$8-A102)&lt;0,1,""))</f>
        <v/>
      </c>
      <c r="D101" s="68" t="str">
        <f>IF(C101=1,(B101*(A102-'F2'!D$8)+B102*('F2'!D$8-A101))/(A102-A101),"")</f>
        <v/>
      </c>
    </row>
    <row r="102" spans="1:4" x14ac:dyDescent="0.25">
      <c r="A102" s="71">
        <v>87</v>
      </c>
      <c r="B102" s="77">
        <v>570.1</v>
      </c>
      <c r="C102" s="17" t="str">
        <f>IF('F2'!D$8=A102,1,IF(('F2'!D$8-A102)*('F2'!D$8-A103)&lt;0,1,""))</f>
        <v/>
      </c>
      <c r="D102" s="68" t="str">
        <f>IF(C102=1,(B102*(A103-'F2'!D$8)+B103*('F2'!D$8-A102))/(A103-A102),"")</f>
        <v/>
      </c>
    </row>
    <row r="103" spans="1:4" x14ac:dyDescent="0.25">
      <c r="A103" s="71">
        <v>88</v>
      </c>
      <c r="B103" s="77">
        <v>569.79999999999995</v>
      </c>
      <c r="C103" s="17" t="str">
        <f>IF('F2'!D$8=A103,1,IF(('F2'!D$8-A103)*('F2'!D$8-A104)&lt;0,1,""))</f>
        <v/>
      </c>
      <c r="D103" s="68" t="str">
        <f>IF(C103=1,(B103*(A104-'F2'!D$8)+B104*('F2'!D$8-A103))/(A104-A103),"")</f>
        <v/>
      </c>
    </row>
    <row r="104" spans="1:4" x14ac:dyDescent="0.25">
      <c r="A104" s="71">
        <v>89</v>
      </c>
      <c r="B104" s="77">
        <v>569.4</v>
      </c>
      <c r="C104" s="17" t="str">
        <f>IF('F2'!D$8=A104,1,IF(('F2'!D$8-A104)*('F2'!D$8-A105)&lt;0,1,""))</f>
        <v/>
      </c>
      <c r="D104" s="68" t="str">
        <f>IF(C104=1,(B104*(A105-'F2'!D$8)+B105*('F2'!D$8-A104))/(A105-A104),"")</f>
        <v/>
      </c>
    </row>
    <row r="105" spans="1:4" x14ac:dyDescent="0.25">
      <c r="A105" s="71">
        <v>90</v>
      </c>
      <c r="B105" s="77">
        <v>569.1</v>
      </c>
      <c r="C105" s="17" t="str">
        <f>IF('F2'!D$8=A105,1,IF(('F2'!D$8-A105)*('F2'!D$8-A106)&lt;0,1,""))</f>
        <v/>
      </c>
      <c r="D105" s="68" t="str">
        <f>IF(C105=1,(B105*(A106-'F2'!D$8)+B106*('F2'!D$8-A105))/(A106-A105),"")</f>
        <v/>
      </c>
    </row>
    <row r="106" spans="1:4" x14ac:dyDescent="0.25">
      <c r="A106" s="71">
        <v>91</v>
      </c>
      <c r="B106" s="77">
        <v>568.79999999999995</v>
      </c>
      <c r="C106" s="17" t="str">
        <f>IF('F2'!D$8=A106,1,IF(('F2'!D$8-A106)*('F2'!D$8-A107)&lt;0,1,""))</f>
        <v/>
      </c>
      <c r="D106" s="68" t="str">
        <f>IF(C106=1,(B106*(A107-'F2'!D$8)+B107*('F2'!D$8-A106))/(A107-A106),"")</f>
        <v/>
      </c>
    </row>
    <row r="107" spans="1:4" x14ac:dyDescent="0.25">
      <c r="A107" s="71">
        <v>92</v>
      </c>
      <c r="B107" s="77">
        <v>568.4</v>
      </c>
      <c r="C107" s="17" t="str">
        <f>IF('F2'!D$8=A107,1,IF(('F2'!D$8-A107)*('F2'!D$8-A108)&lt;0,1,""))</f>
        <v/>
      </c>
      <c r="D107" s="68" t="str">
        <f>IF(C107=1,(B107*(A108-'F2'!D$8)+B108*('F2'!D$8-A107))/(A108-A107),"")</f>
        <v/>
      </c>
    </row>
    <row r="108" spans="1:4" x14ac:dyDescent="0.25">
      <c r="A108" s="71">
        <v>93</v>
      </c>
      <c r="B108" s="77">
        <v>568.1</v>
      </c>
      <c r="C108" s="17" t="str">
        <f>IF('F2'!D$8=A108,1,IF(('F2'!D$8-A108)*('F2'!D$8-A109)&lt;0,1,""))</f>
        <v/>
      </c>
      <c r="D108" s="68" t="str">
        <f>IF(C108=1,(B108*(A109-'F2'!D$8)+B109*('F2'!D$8-A108))/(A109-A108),"")</f>
        <v/>
      </c>
    </row>
    <row r="109" spans="1:4" x14ac:dyDescent="0.25">
      <c r="A109" s="71">
        <v>94</v>
      </c>
      <c r="B109" s="77">
        <v>567.79999999999995</v>
      </c>
      <c r="C109" s="17" t="str">
        <f>IF('F2'!D$8=A109,1,IF(('F2'!D$8-A109)*('F2'!D$8-A110)&lt;0,1,""))</f>
        <v/>
      </c>
      <c r="D109" s="68" t="str">
        <f>IF(C109=1,(B109*(A110-'F2'!D$8)+B110*('F2'!D$8-A109))/(A110-A109),"")</f>
        <v/>
      </c>
    </row>
    <row r="110" spans="1:4" x14ac:dyDescent="0.25">
      <c r="A110" s="71">
        <v>95</v>
      </c>
      <c r="B110" s="77">
        <v>567.4</v>
      </c>
      <c r="C110" s="17" t="str">
        <f>IF('F2'!D$8=A110,1,IF(('F2'!D$8-A110)*('F2'!D$8-A111)&lt;0,1,""))</f>
        <v/>
      </c>
      <c r="D110" s="68" t="str">
        <f>IF(C110=1,(B110*(A111-'F2'!D$8)+B111*('F2'!D$8-A110))/(A111-A110),"")</f>
        <v/>
      </c>
    </row>
    <row r="111" spans="1:4" x14ac:dyDescent="0.25">
      <c r="A111" s="71">
        <v>96</v>
      </c>
      <c r="B111" s="77">
        <v>567.1</v>
      </c>
      <c r="C111" s="17" t="str">
        <f>IF('F2'!D$8=A111,1,IF(('F2'!D$8-A111)*('F2'!D$8-A112)&lt;0,1,""))</f>
        <v/>
      </c>
      <c r="D111" s="68" t="str">
        <f>IF(C111=1,(B111*(A112-'F2'!D$8)+B112*('F2'!D$8-A111))/(A112-A111),"")</f>
        <v/>
      </c>
    </row>
    <row r="112" spans="1:4" x14ac:dyDescent="0.25">
      <c r="A112" s="71">
        <v>97</v>
      </c>
      <c r="B112" s="77">
        <v>566.70000000000005</v>
      </c>
      <c r="C112" s="17" t="str">
        <f>IF('F2'!D$8=A112,1,IF(('F2'!D$8-A112)*('F2'!D$8-A113)&lt;0,1,""))</f>
        <v/>
      </c>
      <c r="D112" s="68" t="str">
        <f>IF(C112=1,(B112*(A113-'F2'!D$8)+B113*('F2'!D$8-A112))/(A113-A112),"")</f>
        <v/>
      </c>
    </row>
    <row r="113" spans="1:4" x14ac:dyDescent="0.25">
      <c r="A113" s="71">
        <v>98</v>
      </c>
      <c r="B113" s="77">
        <v>566.29999999999995</v>
      </c>
      <c r="C113" s="17" t="str">
        <f>IF('F2'!D$8=A113,1,IF(('F2'!D$8-A113)*('F2'!D$8-A114)&lt;0,1,""))</f>
        <v/>
      </c>
      <c r="D113" s="68" t="str">
        <f>IF(C113=1,(B113*(A114-'F2'!D$8)+B114*('F2'!D$8-A113))/(A114-A113),"")</f>
        <v/>
      </c>
    </row>
    <row r="114" spans="1:4" x14ac:dyDescent="0.25">
      <c r="A114" s="71">
        <v>99</v>
      </c>
      <c r="B114" s="77">
        <v>565.9</v>
      </c>
      <c r="C114" s="17" t="str">
        <f>IF('F2'!D$8=A114,1,IF(('F2'!D$8-A114)*('F2'!D$8-A115)&lt;0,1,""))</f>
        <v/>
      </c>
      <c r="D114" s="68" t="str">
        <f>IF(C114=1,(B114*(A115-'F2'!D$8)+B115*('F2'!D$8-A114))/(A115-A114),"")</f>
        <v/>
      </c>
    </row>
    <row r="115" spans="1:4" x14ac:dyDescent="0.25">
      <c r="A115" s="71">
        <v>100</v>
      </c>
      <c r="B115" s="77">
        <v>565.6</v>
      </c>
      <c r="C115" s="17" t="str">
        <f>IF('F2'!D$8=A115,1,IF(('F2'!D$8-A115)*('F2'!D$8-A116)&lt;0,1,""))</f>
        <v/>
      </c>
      <c r="D115" s="68" t="str">
        <f>IF(C115=1,(B115*(A116-'F2'!D$8)+B116*('F2'!D$8-A115))/(A116-A115),"")</f>
        <v/>
      </c>
    </row>
    <row r="116" spans="1:4" x14ac:dyDescent="0.25">
      <c r="A116" s="71">
        <v>101</v>
      </c>
      <c r="B116" s="77">
        <v>565.20000000000005</v>
      </c>
      <c r="C116" s="17" t="str">
        <f>IF('F2'!D$8=A116,1,IF(('F2'!D$8-A116)*('F2'!D$8-A117)&lt;0,1,""))</f>
        <v/>
      </c>
      <c r="D116" s="68" t="str">
        <f>IF(C116=1,(B116*(A117-'F2'!D$8)+B117*('F2'!D$8-A116))/(A117-A116),"")</f>
        <v/>
      </c>
    </row>
    <row r="117" spans="1:4" x14ac:dyDescent="0.25">
      <c r="A117" s="71">
        <v>102</v>
      </c>
      <c r="B117" s="77">
        <v>564.79999999999995</v>
      </c>
      <c r="C117" s="17" t="str">
        <f>IF('F2'!D$8=A117,1,IF(('F2'!D$8-A117)*('F2'!D$8-A118)&lt;0,1,""))</f>
        <v/>
      </c>
      <c r="D117" s="68" t="str">
        <f>IF(C117=1,(B117*(A118-'F2'!D$8)+B118*('F2'!D$8-A117))/(A118-A117),"")</f>
        <v/>
      </c>
    </row>
    <row r="118" spans="1:4" x14ac:dyDescent="0.25">
      <c r="A118" s="71">
        <v>103</v>
      </c>
      <c r="B118" s="77">
        <v>564.4</v>
      </c>
      <c r="C118" s="17" t="str">
        <f>IF('F2'!D$8=A118,1,IF(('F2'!D$8-A118)*('F2'!D$8-A119)&lt;0,1,""))</f>
        <v/>
      </c>
      <c r="D118" s="68" t="str">
        <f>IF(C118=1,(B118*(A119-'F2'!D$8)+B119*('F2'!D$8-A118))/(A119-A118),"")</f>
        <v/>
      </c>
    </row>
    <row r="119" spans="1:4" x14ac:dyDescent="0.25">
      <c r="A119" s="71">
        <v>104</v>
      </c>
      <c r="B119" s="77">
        <v>564</v>
      </c>
      <c r="C119" s="17" t="str">
        <f>IF('F2'!D$8=A119,1,IF(('F2'!D$8-A119)*('F2'!D$8-A120)&lt;0,1,""))</f>
        <v/>
      </c>
      <c r="D119" s="68" t="str">
        <f>IF(C119=1,(B119*(A120-'F2'!D$8)+B120*('F2'!D$8-A119))/(A120-A119),"")</f>
        <v/>
      </c>
    </row>
    <row r="120" spans="1:4" x14ac:dyDescent="0.25">
      <c r="A120" s="71">
        <v>105</v>
      </c>
      <c r="B120" s="77">
        <v>563.5</v>
      </c>
      <c r="C120" s="17" t="str">
        <f>IF('F2'!D$8=A120,1,IF(('F2'!D$8-A120)*('F2'!D$8-A121)&lt;0,1,""))</f>
        <v/>
      </c>
      <c r="D120" s="68" t="str">
        <f>IF(C120=1,(B120*(A121-'F2'!D$8)+B121*('F2'!D$8-A120))/(A121-A120),"")</f>
        <v/>
      </c>
    </row>
    <row r="121" spans="1:4" x14ac:dyDescent="0.25">
      <c r="A121" s="71">
        <v>106</v>
      </c>
      <c r="B121" s="77">
        <v>563.1</v>
      </c>
      <c r="C121" s="17" t="str">
        <f>IF('F2'!D$8=A121,1,IF(('F2'!D$8-A121)*('F2'!D$8-A122)&lt;0,1,""))</f>
        <v/>
      </c>
      <c r="D121" s="68" t="str">
        <f>IF(C121=1,(B121*(A122-'F2'!D$8)+B122*('F2'!D$8-A121))/(A122-A121),"")</f>
        <v/>
      </c>
    </row>
    <row r="122" spans="1:4" x14ac:dyDescent="0.25">
      <c r="A122" s="71">
        <v>107</v>
      </c>
      <c r="B122" s="77">
        <v>562.6</v>
      </c>
      <c r="C122" s="17" t="str">
        <f>IF('F2'!D$8=A122,1,IF(('F2'!D$8-A122)*('F2'!D$8-A123)&lt;0,1,""))</f>
        <v/>
      </c>
      <c r="D122" s="68" t="str">
        <f>IF(C122=1,(B122*(A123-'F2'!D$8)+B123*('F2'!D$8-A122))/(A123-A122),"")</f>
        <v/>
      </c>
    </row>
    <row r="123" spans="1:4" x14ac:dyDescent="0.25">
      <c r="A123" s="71">
        <v>108</v>
      </c>
      <c r="B123" s="77">
        <v>562.20000000000005</v>
      </c>
      <c r="C123" s="17" t="str">
        <f>IF('F2'!D$8=A123,1,IF(('F2'!D$8-A123)*('F2'!D$8-A124)&lt;0,1,""))</f>
        <v/>
      </c>
      <c r="D123" s="68" t="str">
        <f>IF(C123=1,(B123*(A124-'F2'!D$8)+B124*('F2'!D$8-A123))/(A124-A123),"")</f>
        <v/>
      </c>
    </row>
    <row r="124" spans="1:4" x14ac:dyDescent="0.25">
      <c r="A124" s="71">
        <v>109</v>
      </c>
      <c r="B124" s="77">
        <v>561.70000000000005</v>
      </c>
      <c r="C124" s="17" t="str">
        <f>IF('F2'!D$8=A124,1,IF(('F2'!D$8-A124)*('F2'!D$8-A125)&lt;0,1,""))</f>
        <v/>
      </c>
      <c r="D124" s="68" t="str">
        <f>IF(C124=1,(B124*(A125-'F2'!D$8)+B125*('F2'!D$8-A124))/(A125-A124),"")</f>
        <v/>
      </c>
    </row>
    <row r="125" spans="1:4" x14ac:dyDescent="0.25">
      <c r="A125" s="71">
        <v>110</v>
      </c>
      <c r="B125" s="77">
        <v>561.20000000000005</v>
      </c>
      <c r="C125" s="17" t="str">
        <f>IF('F2'!D$8=A125,1,IF(('F2'!D$8-A125)*('F2'!D$8-A126)&lt;0,1,""))</f>
        <v/>
      </c>
      <c r="D125" s="68" t="str">
        <f>IF(C125=1,(B125*(A126-'F2'!D$8)+B126*('F2'!D$8-A125))/(A126-A125),"")</f>
        <v/>
      </c>
    </row>
    <row r="126" spans="1:4" x14ac:dyDescent="0.25">
      <c r="A126" s="71">
        <v>111</v>
      </c>
      <c r="B126" s="77">
        <v>560.70000000000005</v>
      </c>
      <c r="C126" s="17" t="str">
        <f>IF('F2'!D$8=A126,1,IF(('F2'!D$8-A126)*('F2'!D$8-A127)&lt;0,1,""))</f>
        <v/>
      </c>
      <c r="D126" s="68" t="str">
        <f>IF(C126=1,(B126*(A127-'F2'!D$8)+B127*('F2'!D$8-A126))/(A127-A126),"")</f>
        <v/>
      </c>
    </row>
    <row r="127" spans="1:4" x14ac:dyDescent="0.25">
      <c r="A127" s="71">
        <v>112</v>
      </c>
      <c r="B127" s="77">
        <v>560.20000000000005</v>
      </c>
      <c r="C127" s="17" t="str">
        <f>IF('F2'!D$8=A127,1,IF(('F2'!D$8-A127)*('F2'!D$8-A128)&lt;0,1,""))</f>
        <v/>
      </c>
      <c r="D127" s="68" t="str">
        <f>IF(C127=1,(B127*(A128-'F2'!D$8)+B128*('F2'!D$8-A127))/(A128-A127),"")</f>
        <v/>
      </c>
    </row>
    <row r="128" spans="1:4" x14ac:dyDescent="0.25">
      <c r="A128" s="71">
        <v>113</v>
      </c>
      <c r="B128" s="77">
        <v>559.70000000000005</v>
      </c>
      <c r="C128" s="17" t="str">
        <f>IF('F2'!D$8=A128,1,IF(('F2'!D$8-A128)*('F2'!D$8-A129)&lt;0,1,""))</f>
        <v/>
      </c>
      <c r="D128" s="68" t="str">
        <f>IF(C128=1,(B128*(A129-'F2'!D$8)+B129*('F2'!D$8-A128))/(A129-A128),"")</f>
        <v/>
      </c>
    </row>
    <row r="129" spans="1:4" x14ac:dyDescent="0.25">
      <c r="A129" s="71">
        <v>114</v>
      </c>
      <c r="B129" s="77">
        <v>559.20000000000005</v>
      </c>
      <c r="C129" s="17" t="str">
        <f>IF('F2'!D$8=A129,1,IF(('F2'!D$8-A129)*('F2'!D$8-A130)&lt;0,1,""))</f>
        <v/>
      </c>
      <c r="D129" s="68" t="str">
        <f>IF(C129=1,(B129*(A130-'F2'!D$8)+B130*('F2'!D$8-A129))/(A130-A129),"")</f>
        <v/>
      </c>
    </row>
    <row r="130" spans="1:4" x14ac:dyDescent="0.25">
      <c r="A130" s="71">
        <v>115</v>
      </c>
      <c r="B130" s="77">
        <v>558.6</v>
      </c>
      <c r="C130" s="17" t="str">
        <f>IF('F2'!D$8=A130,1,IF(('F2'!D$8-A130)*('F2'!D$8-A131)&lt;0,1,""))</f>
        <v/>
      </c>
      <c r="D130" s="68" t="str">
        <f>IF(C130=1,(B130*(A131-'F2'!D$8)+B131*('F2'!D$8-A130))/(A131-A130),"")</f>
        <v/>
      </c>
    </row>
    <row r="131" spans="1:4" x14ac:dyDescent="0.25">
      <c r="A131" s="71">
        <v>116</v>
      </c>
      <c r="B131" s="77">
        <v>558</v>
      </c>
      <c r="C131" s="17" t="str">
        <f>IF('F2'!D$8=A131,1,IF(('F2'!D$8-A131)*('F2'!D$8-A132)&lt;0,1,""))</f>
        <v/>
      </c>
      <c r="D131" s="68" t="str">
        <f>IF(C131=1,(B131*(A132-'F2'!D$8)+B132*('F2'!D$8-A131))/(A132-A131),"")</f>
        <v/>
      </c>
    </row>
    <row r="132" spans="1:4" x14ac:dyDescent="0.25">
      <c r="A132" s="71">
        <v>117</v>
      </c>
      <c r="B132" s="77">
        <v>557.4</v>
      </c>
      <c r="C132" s="17" t="str">
        <f>IF('F2'!D$8=A132,1,IF(('F2'!D$8-A132)*('F2'!D$8-A133)&lt;0,1,""))</f>
        <v/>
      </c>
      <c r="D132" s="68" t="str">
        <f>IF(C132=1,(B132*(A133-'F2'!D$8)+B133*('F2'!D$8-A132))/(A133-A132),"")</f>
        <v/>
      </c>
    </row>
    <row r="133" spans="1:4" x14ac:dyDescent="0.25">
      <c r="A133" s="71">
        <v>118</v>
      </c>
      <c r="B133" s="77">
        <v>556.79999999999995</v>
      </c>
      <c r="C133" s="17" t="str">
        <f>IF('F2'!D$8=A133,1,IF(('F2'!D$8-A133)*('F2'!D$8-A134)&lt;0,1,""))</f>
        <v/>
      </c>
      <c r="D133" s="68" t="str">
        <f>IF(C133=1,(B133*(A134-'F2'!D$8)+B134*('F2'!D$8-A133))/(A134-A133),"")</f>
        <v/>
      </c>
    </row>
    <row r="134" spans="1:4" x14ac:dyDescent="0.25">
      <c r="A134" s="71">
        <v>119</v>
      </c>
      <c r="B134" s="77">
        <v>556.1</v>
      </c>
      <c r="C134" s="17" t="str">
        <f>IF('F2'!D$8=A134,1,IF(('F2'!D$8-A134)*('F2'!D$8-A135)&lt;0,1,""))</f>
        <v/>
      </c>
      <c r="D134" s="68" t="str">
        <f>IF(C134=1,(B134*(A135-'F2'!D$8)+B135*('F2'!D$8-A134))/(A135-A134),"")</f>
        <v/>
      </c>
    </row>
    <row r="135" spans="1:4" x14ac:dyDescent="0.25">
      <c r="A135" s="71">
        <v>120</v>
      </c>
      <c r="B135" s="77">
        <v>555.5</v>
      </c>
      <c r="C135" s="17" t="str">
        <f>IF('F2'!D$8=A135,1,IF(('F2'!D$8-A135)*('F2'!D$8-A136)&lt;0,1,""))</f>
        <v/>
      </c>
      <c r="D135" s="68" t="str">
        <f>IF(C135=1,(B135*(A136-'F2'!D$8)+B136*('F2'!D$8-A135))/(A136-A135),"")</f>
        <v/>
      </c>
    </row>
    <row r="136" spans="1:4" x14ac:dyDescent="0.25">
      <c r="A136" s="71">
        <v>121</v>
      </c>
      <c r="B136" s="77">
        <v>554.79999999999995</v>
      </c>
      <c r="C136" s="17" t="str">
        <f>IF('F2'!D$8=A136,1,IF(('F2'!D$8-A136)*('F2'!D$8-A137)&lt;0,1,""))</f>
        <v/>
      </c>
      <c r="D136" s="68" t="str">
        <f>IF(C136=1,(B136*(A137-'F2'!D$8)+B137*('F2'!D$8-A136))/(A137-A136),"")</f>
        <v/>
      </c>
    </row>
    <row r="137" spans="1:4" x14ac:dyDescent="0.25">
      <c r="A137" s="71">
        <v>122</v>
      </c>
      <c r="B137" s="77">
        <v>554</v>
      </c>
      <c r="C137" s="17" t="str">
        <f>IF('F2'!D$8=A137,1,IF(('F2'!D$8-A137)*('F2'!D$8-A138)&lt;0,1,""))</f>
        <v/>
      </c>
      <c r="D137" s="68" t="str">
        <f>IF(C137=1,(B137*(A138-'F2'!D$8)+B138*('F2'!D$8-A137))/(A138-A137),"")</f>
        <v/>
      </c>
    </row>
    <row r="138" spans="1:4" x14ac:dyDescent="0.25">
      <c r="A138" s="71">
        <v>123</v>
      </c>
      <c r="B138" s="77">
        <v>553.29999999999995</v>
      </c>
      <c r="C138" s="17" t="str">
        <f>IF('F2'!D$8=A138,1,IF(('F2'!D$8-A138)*('F2'!D$8-A139)&lt;0,1,""))</f>
        <v/>
      </c>
      <c r="D138" s="68" t="str">
        <f>IF(C138=1,(B138*(A139-'F2'!D$8)+B139*('F2'!D$8-A138))/(A139-A138),"")</f>
        <v/>
      </c>
    </row>
    <row r="139" spans="1:4" x14ac:dyDescent="0.25">
      <c r="A139" s="71">
        <v>124</v>
      </c>
      <c r="B139" s="77">
        <v>552.5</v>
      </c>
      <c r="C139" s="17" t="str">
        <f>IF('F2'!D$8=A139,1,IF(('F2'!D$8-A139)*('F2'!D$8-A140)&lt;0,1,""))</f>
        <v/>
      </c>
      <c r="D139" s="68" t="str">
        <f>IF(C139=1,(B139*(A140-'F2'!D$8)+B140*('F2'!D$8-A139))/(A140-A139),"")</f>
        <v/>
      </c>
    </row>
    <row r="140" spans="1:4" x14ac:dyDescent="0.25">
      <c r="A140" s="71">
        <v>125</v>
      </c>
      <c r="B140" s="77">
        <v>551.6</v>
      </c>
      <c r="C140" s="17" t="str">
        <f>IF('F2'!D$8=A140,1,IF(('F2'!D$8-A140)*('F2'!D$8-A141)&lt;0,1,""))</f>
        <v/>
      </c>
      <c r="D140" s="68" t="str">
        <f>IF(C140=1,(B140*(A141-'F2'!D$8)+B141*('F2'!D$8-A140))/(A141-A140),"")</f>
        <v/>
      </c>
    </row>
    <row r="141" spans="1:4" x14ac:dyDescent="0.25">
      <c r="A141" s="71">
        <v>126</v>
      </c>
      <c r="B141" s="77">
        <v>550.70000000000005</v>
      </c>
      <c r="C141" s="17" t="str">
        <f>IF('F2'!D$8=A141,1,IF(('F2'!D$8-A141)*('F2'!D$8-A142)&lt;0,1,""))</f>
        <v/>
      </c>
      <c r="D141" s="68" t="str">
        <f>IF(C141=1,(B141*(A142-'F2'!D$8)+B142*('F2'!D$8-A141))/(A142-A141),"")</f>
        <v/>
      </c>
    </row>
    <row r="142" spans="1:4" x14ac:dyDescent="0.25">
      <c r="A142" s="71">
        <v>127</v>
      </c>
      <c r="B142" s="77">
        <v>549.79999999999995</v>
      </c>
      <c r="C142" s="17" t="str">
        <f>IF('F2'!D$8=A142,1,IF(('F2'!D$8-A142)*('F2'!D$8-A143)&lt;0,1,""))</f>
        <v/>
      </c>
      <c r="D142" s="68" t="str">
        <f>IF(C142=1,(B142*(A143-'F2'!D$8)+B143*('F2'!D$8-A142))/(A143-A142),"")</f>
        <v/>
      </c>
    </row>
    <row r="143" spans="1:4" x14ac:dyDescent="0.25">
      <c r="A143" s="71">
        <v>128</v>
      </c>
      <c r="B143" s="77">
        <v>548.9</v>
      </c>
      <c r="C143" s="17" t="str">
        <f>IF('F2'!D$8=A143,1,IF(('F2'!D$8-A143)*('F2'!D$8-A144)&lt;0,1,""))</f>
        <v/>
      </c>
      <c r="D143" s="68" t="str">
        <f>IF(C143=1,(B143*(A144-'F2'!D$8)+B144*('F2'!D$8-A143))/(A144-A143),"")</f>
        <v/>
      </c>
    </row>
    <row r="144" spans="1:4" x14ac:dyDescent="0.25">
      <c r="A144" s="71">
        <v>129</v>
      </c>
      <c r="B144" s="77">
        <v>547.79999999999995</v>
      </c>
      <c r="C144" s="17" t="str">
        <f>IF('F2'!D$8=A144,1,IF(('F2'!D$8-A144)*('F2'!D$8-A145)&lt;0,1,""))</f>
        <v/>
      </c>
      <c r="D144" s="68" t="str">
        <f>IF(C144=1,(B144*(A145-'F2'!D$8)+B145*('F2'!D$8-A144))/(A145-A144),"")</f>
        <v/>
      </c>
    </row>
    <row r="145" spans="1:4" x14ac:dyDescent="0.25">
      <c r="A145" s="71">
        <v>130</v>
      </c>
      <c r="B145" s="77">
        <v>546.79999999999995</v>
      </c>
      <c r="C145" s="17" t="str">
        <f>IF('F2'!D$8=A145,1,IF(('F2'!D$8-A145)*('F2'!D$8-A146)&lt;0,1,""))</f>
        <v/>
      </c>
      <c r="D145" s="68" t="str">
        <f>IF(C145=1,(B145*(A146-'F2'!D$8)+B146*('F2'!D$8-A145))/(A146-A145),"")</f>
        <v/>
      </c>
    </row>
    <row r="146" spans="1:4" x14ac:dyDescent="0.25">
      <c r="A146" s="71">
        <v>131</v>
      </c>
      <c r="B146" s="77">
        <v>545.6</v>
      </c>
      <c r="C146" s="17" t="str">
        <f>IF('F2'!D$8=A146,1,IF(('F2'!D$8-A146)*('F2'!D$8-A147)&lt;0,1,""))</f>
        <v/>
      </c>
      <c r="D146" s="68" t="str">
        <f>IF(C146=1,(B146*(A147-'F2'!D$8)+B147*('F2'!D$8-A146))/(A147-A146),"")</f>
        <v/>
      </c>
    </row>
    <row r="147" spans="1:4" x14ac:dyDescent="0.25">
      <c r="A147" s="71">
        <v>132</v>
      </c>
      <c r="B147" s="77">
        <v>544.4</v>
      </c>
      <c r="C147" s="17" t="str">
        <f>IF('F2'!D$8=A147,1,IF(('F2'!D$8-A147)*('F2'!D$8-A148)&lt;0,1,""))</f>
        <v/>
      </c>
      <c r="D147" s="68" t="str">
        <f>IF(C147=1,(B147*(A148-'F2'!D$8)+B148*('F2'!D$8-A147))/(A148-A147),"")</f>
        <v/>
      </c>
    </row>
    <row r="148" spans="1:4" x14ac:dyDescent="0.25">
      <c r="A148" s="71">
        <v>133</v>
      </c>
      <c r="B148" s="77">
        <v>543.20000000000005</v>
      </c>
      <c r="C148" s="17" t="str">
        <f>IF('F2'!D$8=A148,1,IF(('F2'!D$8-A148)*('F2'!D$8-A149)&lt;0,1,""))</f>
        <v/>
      </c>
      <c r="D148" s="68" t="str">
        <f>IF(C148=1,(B148*(A149-'F2'!D$8)+B149*('F2'!D$8-A148))/(A149-A148),"")</f>
        <v/>
      </c>
    </row>
    <row r="149" spans="1:4" x14ac:dyDescent="0.25">
      <c r="A149" s="71">
        <v>134</v>
      </c>
      <c r="B149" s="77">
        <v>541.9</v>
      </c>
      <c r="C149" s="17" t="str">
        <f>IF('F2'!D$8=A149,1,IF(('F2'!D$8-A149)*('F2'!D$8-A150)&lt;0,1,""))</f>
        <v/>
      </c>
      <c r="D149" s="68" t="str">
        <f>IF(C149=1,(B149*(A150-'F2'!D$8)+B150*('F2'!D$8-A149))/(A150-A149),"")</f>
        <v/>
      </c>
    </row>
    <row r="150" spans="1:4" x14ac:dyDescent="0.25">
      <c r="A150" s="71">
        <v>135</v>
      </c>
      <c r="B150" s="77">
        <v>540.5</v>
      </c>
      <c r="C150" s="17" t="str">
        <f>IF('F2'!D$8=A150,1,IF(('F2'!D$8-A150)*('F2'!D$8-A151)&lt;0,1,""))</f>
        <v/>
      </c>
      <c r="D150" s="68" t="str">
        <f>IF(C150=1,(B150*(A151-'F2'!D$8)+B151*('F2'!D$8-A150))/(A151-A150),"")</f>
        <v/>
      </c>
    </row>
    <row r="151" spans="1:4" x14ac:dyDescent="0.25">
      <c r="A151" s="71">
        <v>136</v>
      </c>
      <c r="B151" s="77">
        <v>539</v>
      </c>
      <c r="C151" s="17" t="str">
        <f>IF('F2'!D$8=A151,1,IF(('F2'!D$8-A151)*('F2'!D$8-A152)&lt;0,1,""))</f>
        <v/>
      </c>
      <c r="D151" s="68" t="str">
        <f>IF(C151=1,(B151*(A152-'F2'!D$8)+B152*('F2'!D$8-A151))/(A152-A151),"")</f>
        <v/>
      </c>
    </row>
    <row r="152" spans="1:4" x14ac:dyDescent="0.25">
      <c r="A152" s="71">
        <v>137</v>
      </c>
      <c r="B152" s="77">
        <v>537.4</v>
      </c>
      <c r="C152" s="17" t="str">
        <f>IF('F2'!D$8=A152,1,IF(('F2'!D$8-A152)*('F2'!D$8-A153)&lt;0,1,""))</f>
        <v/>
      </c>
      <c r="D152" s="68" t="str">
        <f>IF(C152=1,(B152*(A153-'F2'!D$8)+B153*('F2'!D$8-A152))/(A153-A152),"")</f>
        <v/>
      </c>
    </row>
    <row r="153" spans="1:4" x14ac:dyDescent="0.25">
      <c r="A153" s="71">
        <v>138</v>
      </c>
      <c r="B153" s="77">
        <v>535.79999999999995</v>
      </c>
      <c r="C153" s="17" t="str">
        <f>IF('F2'!D$8=A153,1,IF(('F2'!D$8-A153)*('F2'!D$8-A154)&lt;0,1,""))</f>
        <v/>
      </c>
      <c r="D153" s="68" t="str">
        <f>IF(C153=1,(B153*(A154-'F2'!D$8)+B154*('F2'!D$8-A153))/(A154-A153),"")</f>
        <v/>
      </c>
    </row>
    <row r="154" spans="1:4" x14ac:dyDescent="0.25">
      <c r="A154" s="71">
        <v>139</v>
      </c>
      <c r="B154" s="77">
        <v>534.1</v>
      </c>
      <c r="C154" s="17" t="str">
        <f>IF('F2'!D$8=A154,1,IF(('F2'!D$8-A154)*('F2'!D$8-A155)&lt;0,1,""))</f>
        <v/>
      </c>
      <c r="D154" s="68" t="str">
        <f>IF(C154=1,(B154*(A155-'F2'!D$8)+B155*('F2'!D$8-A154))/(A155-A154),"")</f>
        <v/>
      </c>
    </row>
    <row r="155" spans="1:4" x14ac:dyDescent="0.25">
      <c r="A155" s="71">
        <v>140</v>
      </c>
      <c r="B155" s="77">
        <v>532.4</v>
      </c>
      <c r="C155" s="17" t="str">
        <f>IF('F2'!D$8=A155,1,IF(('F2'!D$8-A155)*('F2'!D$8-A156)&lt;0,1,""))</f>
        <v/>
      </c>
      <c r="D155" s="68" t="str">
        <f>IF(C155=1,(B155*(A156-'F2'!D$8)+B156*('F2'!D$8-A155))/(A156-A155),"")</f>
        <v/>
      </c>
    </row>
    <row r="156" spans="1:4" x14ac:dyDescent="0.25">
      <c r="A156" s="71">
        <v>141</v>
      </c>
      <c r="B156" s="77">
        <v>530.5</v>
      </c>
      <c r="C156" s="17" t="str">
        <f>IF('F2'!D$8=A156,1,IF(('F2'!D$8-A156)*('F2'!D$8-A157)&lt;0,1,""))</f>
        <v/>
      </c>
      <c r="D156" s="68" t="str">
        <f>IF(C156=1,(B156*(A157-'F2'!D$8)+B157*('F2'!D$8-A156))/(A157-A156),"")</f>
        <v/>
      </c>
    </row>
    <row r="157" spans="1:4" x14ac:dyDescent="0.25">
      <c r="A157" s="71">
        <v>142</v>
      </c>
      <c r="B157" s="77">
        <v>528.70000000000005</v>
      </c>
      <c r="C157" s="17" t="str">
        <f>IF('F2'!D$8=A157,1,IF(('F2'!D$8-A157)*('F2'!D$8-A158)&lt;0,1,""))</f>
        <v/>
      </c>
      <c r="D157" s="68" t="str">
        <f>IF(C157=1,(B157*(A158-'F2'!D$8)+B158*('F2'!D$8-A157))/(A158-A157),"")</f>
        <v/>
      </c>
    </row>
    <row r="158" spans="1:4" x14ac:dyDescent="0.25">
      <c r="A158" s="71">
        <v>143</v>
      </c>
      <c r="B158" s="77">
        <v>526.79999999999995</v>
      </c>
      <c r="C158" s="17" t="str">
        <f>IF('F2'!D$8=A158,1,IF(('F2'!D$8-A158)*('F2'!D$8-A159)&lt;0,1,""))</f>
        <v/>
      </c>
      <c r="D158" s="68" t="str">
        <f>IF(C158=1,(B158*(A159-'F2'!D$8)+B159*('F2'!D$8-A158))/(A159-A158),"")</f>
        <v/>
      </c>
    </row>
    <row r="159" spans="1:4" x14ac:dyDescent="0.25">
      <c r="A159" s="71">
        <v>144</v>
      </c>
      <c r="B159" s="77">
        <v>524.9</v>
      </c>
      <c r="C159" s="17" t="str">
        <f>IF('F2'!D$8=A159,1,IF(('F2'!D$8-A159)*('F2'!D$8-A160)&lt;0,1,""))</f>
        <v/>
      </c>
      <c r="D159" s="68" t="str">
        <f>IF(C159=1,(B159*(A160-'F2'!D$8)+B160*('F2'!D$8-A159))/(A160-A159),"")</f>
        <v/>
      </c>
    </row>
    <row r="160" spans="1:4" x14ac:dyDescent="0.25">
      <c r="A160" s="71">
        <v>145</v>
      </c>
      <c r="B160" s="77">
        <v>523</v>
      </c>
      <c r="C160" s="17" t="str">
        <f>IF('F2'!D$8=A160,1,IF(('F2'!D$8-A160)*('F2'!D$8-A161)&lt;0,1,""))</f>
        <v/>
      </c>
      <c r="D160" s="68" t="str">
        <f>IF(C160=1,(B160*(A161-'F2'!D$8)+B161*('F2'!D$8-A160))/(A161-A160),"")</f>
        <v/>
      </c>
    </row>
    <row r="161" spans="1:4" x14ac:dyDescent="0.25">
      <c r="A161" s="71">
        <v>146</v>
      </c>
      <c r="B161" s="77">
        <v>521.1</v>
      </c>
      <c r="C161" s="17" t="str">
        <f>IF('F2'!D$8=A161,1,IF(('F2'!D$8-A161)*('F2'!D$8-A162)&lt;0,1,""))</f>
        <v/>
      </c>
      <c r="D161" s="68" t="str">
        <f>IF(C161=1,(B161*(A162-'F2'!D$8)+B162*('F2'!D$8-A161))/(A162-A161),"")</f>
        <v/>
      </c>
    </row>
    <row r="162" spans="1:4" x14ac:dyDescent="0.25">
      <c r="A162" s="71">
        <v>147</v>
      </c>
      <c r="B162" s="77">
        <v>519.20000000000005</v>
      </c>
      <c r="C162" s="17" t="str">
        <f>IF('F2'!D$8=A162,1,IF(('F2'!D$8-A162)*('F2'!D$8-A163)&lt;0,1,""))</f>
        <v/>
      </c>
      <c r="D162" s="68" t="str">
        <f>IF(C162=1,(B162*(A163-'F2'!D$8)+B163*('F2'!D$8-A162))/(A163-A162),"")</f>
        <v/>
      </c>
    </row>
    <row r="163" spans="1:4" x14ac:dyDescent="0.25">
      <c r="A163" s="71">
        <v>148</v>
      </c>
      <c r="B163" s="77">
        <v>517.5</v>
      </c>
      <c r="C163" s="17" t="str">
        <f>IF('F2'!D$8=A163,1,IF(('F2'!D$8-A163)*('F2'!D$8-A164)&lt;0,1,""))</f>
        <v/>
      </c>
      <c r="D163" s="68" t="str">
        <f>IF(C163=1,(B163*(A164-'F2'!D$8)+B164*('F2'!D$8-A163))/(A164-A163),"")</f>
        <v/>
      </c>
    </row>
    <row r="164" spans="1:4" x14ac:dyDescent="0.25">
      <c r="A164" s="71">
        <v>149</v>
      </c>
      <c r="B164" s="77">
        <v>516</v>
      </c>
      <c r="C164" s="17" t="str">
        <f>IF('F2'!D$8=A164,1,IF(('F2'!D$8-A164)*('F2'!D$8-A165)&lt;0,1,""))</f>
        <v/>
      </c>
      <c r="D164" s="68" t="str">
        <f>IF(C164=1,(B164*(A165-'F2'!D$8)+B165*('F2'!D$8-A164))/(A165-A164),"")</f>
        <v/>
      </c>
    </row>
    <row r="165" spans="1:4" x14ac:dyDescent="0.25">
      <c r="A165" s="71">
        <v>150</v>
      </c>
      <c r="B165" s="77">
        <v>514.5</v>
      </c>
      <c r="C165" s="17" t="str">
        <f>IF('F2'!D$8=A165,1,IF(('F2'!D$8-A165)*('F2'!D$8-A166)&lt;0,1,""))</f>
        <v/>
      </c>
      <c r="D165" s="68" t="str">
        <f>IF(C165=1,(B165*(A166-'F2'!D$8)+B166*('F2'!D$8-A165))/(A166-A165),"")</f>
        <v/>
      </c>
    </row>
    <row r="166" spans="1:4" x14ac:dyDescent="0.25">
      <c r="A166" s="71">
        <v>151</v>
      </c>
      <c r="B166" s="77">
        <v>513.20000000000005</v>
      </c>
      <c r="C166" s="17" t="str">
        <f>IF('F2'!D$8=A166,1,IF(('F2'!D$8-A166)*('F2'!D$8-A167)&lt;0,1,""))</f>
        <v/>
      </c>
      <c r="D166" s="68" t="str">
        <f>IF(C166=1,(B166*(A167-'F2'!D$8)+B167*('F2'!D$8-A166))/(A167-A166),"")</f>
        <v/>
      </c>
    </row>
    <row r="167" spans="1:4" x14ac:dyDescent="0.25">
      <c r="A167" s="71">
        <v>152</v>
      </c>
      <c r="B167" s="77">
        <v>511.9</v>
      </c>
      <c r="C167" s="17" t="str">
        <f>IF('F2'!D$8=A167,1,IF(('F2'!D$8-A167)*('F2'!D$8-A168)&lt;0,1,""))</f>
        <v/>
      </c>
      <c r="D167" s="68" t="str">
        <f>IF(C167=1,(B167*(A168-'F2'!D$8)+B168*('F2'!D$8-A167))/(A168-A167),"")</f>
        <v/>
      </c>
    </row>
    <row r="168" spans="1:4" x14ac:dyDescent="0.25">
      <c r="A168" s="71">
        <v>153</v>
      </c>
      <c r="B168" s="77">
        <v>510.8</v>
      </c>
      <c r="C168" s="17" t="str">
        <f>IF('F2'!D$8=A168,1,IF(('F2'!D$8-A168)*('F2'!D$8-A169)&lt;0,1,""))</f>
        <v/>
      </c>
      <c r="D168" s="68" t="str">
        <f>IF(C168=1,(B168*(A169-'F2'!D$8)+B169*('F2'!D$8-A168))/(A169-A168),"")</f>
        <v/>
      </c>
    </row>
    <row r="169" spans="1:4" x14ac:dyDescent="0.25">
      <c r="A169" s="71">
        <v>154</v>
      </c>
      <c r="B169" s="77">
        <v>509.7</v>
      </c>
      <c r="C169" s="17" t="str">
        <f>IF('F2'!D$8=A169,1,IF(('F2'!D$8-A169)*('F2'!D$8-A170)&lt;0,1,""))</f>
        <v/>
      </c>
      <c r="D169" s="68" t="str">
        <f>IF(C169=1,(B169*(A170-'F2'!D$8)+B170*('F2'!D$8-A169))/(A170-A169),"")</f>
        <v/>
      </c>
    </row>
    <row r="170" spans="1:4" x14ac:dyDescent="0.25">
      <c r="A170" s="71">
        <v>155</v>
      </c>
      <c r="B170" s="77">
        <v>508.7</v>
      </c>
      <c r="C170" s="17" t="str">
        <f>IF('F2'!D$8=A170,1,IF(('F2'!D$8-A170)*('F2'!D$8-A171)&lt;0,1,""))</f>
        <v/>
      </c>
      <c r="D170" s="68" t="str">
        <f>IF(C170=1,(B170*(A171-'F2'!D$8)+B171*('F2'!D$8-A170))/(A171-A170),"")</f>
        <v/>
      </c>
    </row>
    <row r="171" spans="1:4" x14ac:dyDescent="0.25">
      <c r="A171" s="71">
        <v>156</v>
      </c>
      <c r="B171" s="77">
        <v>507.7</v>
      </c>
      <c r="C171" s="17" t="str">
        <f>IF('F2'!D$8=A171,1,IF(('F2'!D$8-A171)*('F2'!D$8-A172)&lt;0,1,""))</f>
        <v/>
      </c>
      <c r="D171" s="68" t="str">
        <f>IF(C171=1,(B171*(A172-'F2'!D$8)+B172*('F2'!D$8-A171))/(A172-A171),"")</f>
        <v/>
      </c>
    </row>
    <row r="172" spans="1:4" x14ac:dyDescent="0.25">
      <c r="A172" s="71">
        <v>157</v>
      </c>
      <c r="B172" s="77">
        <v>506.8</v>
      </c>
      <c r="C172" s="17" t="str">
        <f>IF('F2'!D$8=A172,1,IF(('F2'!D$8-A172)*('F2'!D$8-A173)&lt;0,1,""))</f>
        <v/>
      </c>
      <c r="D172" s="68" t="str">
        <f>IF(C172=1,(B172*(A173-'F2'!D$8)+B173*('F2'!D$8-A172))/(A173-A172),"")</f>
        <v/>
      </c>
    </row>
    <row r="173" spans="1:4" x14ac:dyDescent="0.25">
      <c r="A173" s="71">
        <v>158</v>
      </c>
      <c r="B173" s="77">
        <v>505.9</v>
      </c>
      <c r="C173" s="17" t="str">
        <f>IF('F2'!D$8=A173,1,IF(('F2'!D$8-A173)*('F2'!D$8-A174)&lt;0,1,""))</f>
        <v/>
      </c>
      <c r="D173" s="68" t="str">
        <f>IF(C173=1,(B173*(A174-'F2'!D$8)+B174*('F2'!D$8-A173))/(A174-A173),"")</f>
        <v/>
      </c>
    </row>
    <row r="174" spans="1:4" x14ac:dyDescent="0.25">
      <c r="A174" s="71">
        <v>159</v>
      </c>
      <c r="B174" s="77">
        <v>505.1</v>
      </c>
      <c r="C174" s="17" t="str">
        <f>IF('F2'!D$8=A174,1,IF(('F2'!D$8-A174)*('F2'!D$8-A175)&lt;0,1,""))</f>
        <v/>
      </c>
      <c r="D174" s="68" t="str">
        <f>IF(C174=1,(B174*(A175-'F2'!D$8)+B175*('F2'!D$8-A174))/(A175-A174),"")</f>
        <v/>
      </c>
    </row>
    <row r="175" spans="1:4" x14ac:dyDescent="0.25">
      <c r="A175" s="71">
        <v>160</v>
      </c>
      <c r="B175" s="77">
        <v>504.4</v>
      </c>
      <c r="C175" s="17" t="str">
        <f>IF('F2'!D$8=A175,1,IF(('F2'!D$8-A175)*('F2'!D$8-A176)&lt;0,1,""))</f>
        <v/>
      </c>
      <c r="D175" s="68" t="str">
        <f>IF(C175=1,(B175*(A176-'F2'!D$8)+B176*('F2'!D$8-A175))/(A176-A175),"")</f>
        <v/>
      </c>
    </row>
    <row r="176" spans="1:4" x14ac:dyDescent="0.25">
      <c r="A176" s="71">
        <v>161</v>
      </c>
      <c r="B176" s="77">
        <v>503.6</v>
      </c>
      <c r="C176" s="17" t="str">
        <f>IF('F2'!D$8=A176,1,IF(('F2'!D$8-A176)*('F2'!D$8-A177)&lt;0,1,""))</f>
        <v/>
      </c>
      <c r="D176" s="68" t="str">
        <f>IF(C176=1,(B176*(A177-'F2'!D$8)+B177*('F2'!D$8-A176))/(A177-A176),"")</f>
        <v/>
      </c>
    </row>
    <row r="177" spans="1:4" x14ac:dyDescent="0.25">
      <c r="A177" s="71">
        <v>162</v>
      </c>
      <c r="B177" s="77">
        <v>502.9</v>
      </c>
      <c r="C177" s="17" t="str">
        <f>IF('F2'!D$8=A177,1,IF(('F2'!D$8-A177)*('F2'!D$8-A178)&lt;0,1,""))</f>
        <v/>
      </c>
      <c r="D177" s="68" t="str">
        <f>IF(C177=1,(B177*(A178-'F2'!D$8)+B178*('F2'!D$8-A177))/(A178-A177),"")</f>
        <v/>
      </c>
    </row>
    <row r="178" spans="1:4" x14ac:dyDescent="0.25">
      <c r="A178" s="71">
        <v>163</v>
      </c>
      <c r="B178" s="77">
        <v>502.3</v>
      </c>
      <c r="C178" s="17" t="str">
        <f>IF('F2'!D$8=A178,1,IF(('F2'!D$8-A178)*('F2'!D$8-A179)&lt;0,1,""))</f>
        <v/>
      </c>
      <c r="D178" s="68" t="str">
        <f>IF(C178=1,(B178*(A179-'F2'!D$8)+B179*('F2'!D$8-A178))/(A179-A178),"")</f>
        <v/>
      </c>
    </row>
    <row r="179" spans="1:4" x14ac:dyDescent="0.25">
      <c r="A179" s="71">
        <v>164</v>
      </c>
      <c r="B179" s="77">
        <v>501.7</v>
      </c>
      <c r="C179" s="17" t="str">
        <f>IF('F2'!D$8=A179,1,IF(('F2'!D$8-A179)*('F2'!D$8-A180)&lt;0,1,""))</f>
        <v/>
      </c>
      <c r="D179" s="68" t="str">
        <f>IF(C179=1,(B179*(A180-'F2'!D$8)+B180*('F2'!D$8-A179))/(A180-A179),"")</f>
        <v/>
      </c>
    </row>
    <row r="180" spans="1:4" x14ac:dyDescent="0.25">
      <c r="A180" s="71">
        <v>165</v>
      </c>
      <c r="B180" s="77">
        <v>501.1</v>
      </c>
      <c r="C180" s="17" t="str">
        <f>IF('F2'!D$8=A180,1,IF(('F2'!D$8-A180)*('F2'!D$8-A181)&lt;0,1,""))</f>
        <v/>
      </c>
      <c r="D180" s="68" t="str">
        <f>IF(C180=1,(B180*(A181-'F2'!D$8)+B181*('F2'!D$8-A180))/(A181-A180),"")</f>
        <v/>
      </c>
    </row>
    <row r="181" spans="1:4" x14ac:dyDescent="0.25">
      <c r="A181" s="71">
        <v>166</v>
      </c>
      <c r="B181" s="77">
        <v>500.6</v>
      </c>
      <c r="C181" s="17" t="str">
        <f>IF('F2'!D$8=A181,1,IF(('F2'!D$8-A181)*('F2'!D$8-A182)&lt;0,1,""))</f>
        <v/>
      </c>
      <c r="D181" s="68" t="str">
        <f>IF(C181=1,(B181*(A182-'F2'!D$8)+B182*('F2'!D$8-A181))/(A182-A181),"")</f>
        <v/>
      </c>
    </row>
    <row r="182" spans="1:4" x14ac:dyDescent="0.25">
      <c r="A182" s="71">
        <v>167</v>
      </c>
      <c r="B182" s="77">
        <v>500</v>
      </c>
      <c r="C182" s="17" t="str">
        <f>IF('F2'!D$8=A182,1,IF(('F2'!D$8-A182)*('F2'!D$8-A183)&lt;0,1,""))</f>
        <v/>
      </c>
      <c r="D182" s="68" t="str">
        <f>IF(C182=1,(B182*(A183-'F2'!D$8)+B183*('F2'!D$8-A182))/(A183-A182),"")</f>
        <v/>
      </c>
    </row>
    <row r="183" spans="1:4" x14ac:dyDescent="0.25">
      <c r="A183" s="71">
        <v>168</v>
      </c>
      <c r="B183" s="77">
        <v>499.5</v>
      </c>
      <c r="C183" s="17" t="str">
        <f>IF('F2'!D$8=A183,1,IF(('F2'!D$8-A183)*('F2'!D$8-A184)&lt;0,1,""))</f>
        <v/>
      </c>
      <c r="D183" s="68" t="str">
        <f>IF(C183=1,(B183*(A184-'F2'!D$8)+B184*('F2'!D$8-A183))/(A184-A183),"")</f>
        <v/>
      </c>
    </row>
    <row r="184" spans="1:4" x14ac:dyDescent="0.25">
      <c r="A184" s="71">
        <v>169</v>
      </c>
      <c r="B184" s="77">
        <v>499</v>
      </c>
      <c r="C184" s="17" t="str">
        <f>IF('F2'!D$8=A184,1,IF(('F2'!D$8-A184)*('F2'!D$8-A185)&lt;0,1,""))</f>
        <v/>
      </c>
      <c r="D184" s="68" t="str">
        <f>IF(C184=1,(B184*(A185-'F2'!D$8)+B185*('F2'!D$8-A184))/(A185-A184),"")</f>
        <v/>
      </c>
    </row>
    <row r="185" spans="1:4" x14ac:dyDescent="0.25">
      <c r="A185" s="71">
        <v>170</v>
      </c>
      <c r="B185" s="77">
        <v>498.6</v>
      </c>
      <c r="C185" s="17" t="str">
        <f>IF('F2'!D$8=A185,1,IF(('F2'!D$8-A185)*('F2'!D$8-A186)&lt;0,1,""))</f>
        <v/>
      </c>
      <c r="D185" s="68" t="str">
        <f>IF(C185=1,(B185*(A186-'F2'!D$8)+B186*('F2'!D$8-A185))/(A186-A185),"")</f>
        <v/>
      </c>
    </row>
    <row r="186" spans="1:4" x14ac:dyDescent="0.25">
      <c r="A186" s="71">
        <v>171</v>
      </c>
      <c r="B186" s="77">
        <v>498.2</v>
      </c>
      <c r="C186" s="17" t="str">
        <f>IF('F2'!D$8=A186,1,IF(('F2'!D$8-A186)*('F2'!D$8-A187)&lt;0,1,""))</f>
        <v/>
      </c>
      <c r="D186" s="68" t="str">
        <f>IF(C186=1,(B186*(A187-'F2'!D$8)+B187*('F2'!D$8-A186))/(A187-A186),"")</f>
        <v/>
      </c>
    </row>
    <row r="187" spans="1:4" x14ac:dyDescent="0.25">
      <c r="A187" s="71">
        <v>172</v>
      </c>
      <c r="B187" s="77">
        <v>497.7</v>
      </c>
      <c r="C187" s="17" t="str">
        <f>IF('F2'!D$8=A187,1,IF(('F2'!D$8-A187)*('F2'!D$8-A188)&lt;0,1,""))</f>
        <v/>
      </c>
      <c r="D187" s="68" t="str">
        <f>IF(C187=1,(B187*(A188-'F2'!D$8)+B188*('F2'!D$8-A187))/(A188-A187),"")</f>
        <v/>
      </c>
    </row>
    <row r="188" spans="1:4" x14ac:dyDescent="0.25">
      <c r="A188" s="71">
        <v>173</v>
      </c>
      <c r="B188" s="77">
        <v>497.3</v>
      </c>
      <c r="C188" s="17" t="str">
        <f>IF('F2'!D$8=A188,1,IF(('F2'!D$8-A188)*('F2'!D$8-A189)&lt;0,1,""))</f>
        <v/>
      </c>
      <c r="D188" s="68" t="str">
        <f>IF(C188=1,(B188*(A189-'F2'!D$8)+B189*('F2'!D$8-A188))/(A189-A188),"")</f>
        <v/>
      </c>
    </row>
    <row r="189" spans="1:4" x14ac:dyDescent="0.25">
      <c r="A189" s="71">
        <v>174</v>
      </c>
      <c r="B189" s="77">
        <v>496.9</v>
      </c>
      <c r="C189" s="17" t="str">
        <f>IF('F2'!D$8=A189,1,IF(('F2'!D$8-A189)*('F2'!D$8-A190)&lt;0,1,""))</f>
        <v/>
      </c>
      <c r="D189" s="68" t="str">
        <f>IF(C189=1,(B189*(A190-'F2'!D$8)+B190*('F2'!D$8-A189))/(A190-A189),"")</f>
        <v/>
      </c>
    </row>
    <row r="190" spans="1:4" x14ac:dyDescent="0.25">
      <c r="A190" s="71">
        <v>175</v>
      </c>
      <c r="B190" s="77">
        <v>496.6</v>
      </c>
      <c r="C190" s="17" t="str">
        <f>IF('F2'!D$8=A190,1,IF(('F2'!D$8-A190)*('F2'!D$8-A191)&lt;0,1,""))</f>
        <v/>
      </c>
      <c r="D190" s="68" t="str">
        <f>IF(C190=1,(B190*(A191-'F2'!D$8)+B191*('F2'!D$8-A190))/(A191-A190),"")</f>
        <v/>
      </c>
    </row>
    <row r="191" spans="1:4" x14ac:dyDescent="0.25">
      <c r="A191" s="71">
        <v>176</v>
      </c>
      <c r="B191" s="77">
        <v>496.2</v>
      </c>
      <c r="C191" s="17" t="str">
        <f>IF('F2'!D$8=A191,1,IF(('F2'!D$8-A191)*('F2'!D$8-A192)&lt;0,1,""))</f>
        <v/>
      </c>
      <c r="D191" s="68" t="str">
        <f>IF(C191=1,(B191*(A192-'F2'!D$8)+B192*('F2'!D$8-A191))/(A192-A191),"")</f>
        <v/>
      </c>
    </row>
    <row r="192" spans="1:4" x14ac:dyDescent="0.25">
      <c r="A192" s="71">
        <v>177</v>
      </c>
      <c r="B192" s="77">
        <v>495.9</v>
      </c>
      <c r="C192" s="17" t="str">
        <f>IF('F2'!D$8=A192,1,IF(('F2'!D$8-A192)*('F2'!D$8-A193)&lt;0,1,""))</f>
        <v/>
      </c>
      <c r="D192" s="68" t="str">
        <f>IF(C192=1,(B192*(A193-'F2'!D$8)+B193*('F2'!D$8-A192))/(A193-A192),"")</f>
        <v/>
      </c>
    </row>
    <row r="193" spans="1:4" x14ac:dyDescent="0.25">
      <c r="A193" s="71">
        <v>178</v>
      </c>
      <c r="B193" s="77">
        <v>495.5</v>
      </c>
      <c r="C193" s="17" t="str">
        <f>IF('F2'!D$8=A193,1,IF(('F2'!D$8-A193)*('F2'!D$8-A194)&lt;0,1,""))</f>
        <v/>
      </c>
      <c r="D193" s="68" t="str">
        <f>IF(C193=1,(B193*(A194-'F2'!D$8)+B194*('F2'!D$8-A193))/(A194-A193),"")</f>
        <v/>
      </c>
    </row>
    <row r="194" spans="1:4" x14ac:dyDescent="0.25">
      <c r="A194" s="71">
        <v>179</v>
      </c>
      <c r="B194" s="77">
        <v>495.2</v>
      </c>
      <c r="C194" s="17" t="str">
        <f>IF('F2'!D$8=A194,1,IF(('F2'!D$8-A194)*('F2'!D$8-A195)&lt;0,1,""))</f>
        <v/>
      </c>
      <c r="D194" s="68" t="str">
        <f>IF(C194=1,(B194*(A195-'F2'!D$8)+B195*('F2'!D$8-A194))/(A195-A194),"")</f>
        <v/>
      </c>
    </row>
    <row r="195" spans="1:4" x14ac:dyDescent="0.25">
      <c r="A195" s="71">
        <v>180</v>
      </c>
      <c r="B195" s="77">
        <v>494.9</v>
      </c>
      <c r="C195" s="17" t="str">
        <f>IF('F2'!D$8=A195,1,IF(('F2'!D$8-A195)*('F2'!D$8-A196)&lt;0,1,""))</f>
        <v/>
      </c>
      <c r="D195" s="68" t="str">
        <f>IF(C195=1,(B195*(A196-'F2'!D$8)+B196*('F2'!D$8-A195))/(A196-A195),"")</f>
        <v/>
      </c>
    </row>
    <row r="196" spans="1:4" x14ac:dyDescent="0.25">
      <c r="A196" s="71">
        <v>181</v>
      </c>
      <c r="B196" s="77">
        <v>494.6</v>
      </c>
      <c r="C196" s="17" t="str">
        <f>IF('F2'!D$8=A196,1,IF(('F2'!D$8-A196)*('F2'!D$8-A197)&lt;0,1,""))</f>
        <v/>
      </c>
      <c r="D196" s="68" t="str">
        <f>IF(C196=1,(B196*(A197-'F2'!D$8)+B197*('F2'!D$8-A196))/(A197-A196),"")</f>
        <v/>
      </c>
    </row>
    <row r="197" spans="1:4" x14ac:dyDescent="0.25">
      <c r="A197" s="71">
        <v>182</v>
      </c>
      <c r="B197" s="77">
        <v>494.2</v>
      </c>
      <c r="C197" s="17" t="str">
        <f>IF('F2'!D$8=A197,1,IF(('F2'!D$8-A197)*('F2'!D$8-A198)&lt;0,1,""))</f>
        <v/>
      </c>
      <c r="D197" s="68" t="str">
        <f>IF(C197=1,(B197*(A198-'F2'!D$8)+B198*('F2'!D$8-A197))/(A198-A197),"")</f>
        <v/>
      </c>
    </row>
    <row r="198" spans="1:4" x14ac:dyDescent="0.25">
      <c r="A198" s="71">
        <v>183</v>
      </c>
      <c r="B198" s="77">
        <v>493.9</v>
      </c>
      <c r="C198" s="17" t="str">
        <f>IF('F2'!D$8=A198,1,IF(('F2'!D$8-A198)*('F2'!D$8-A199)&lt;0,1,""))</f>
        <v/>
      </c>
      <c r="D198" s="68" t="str">
        <f>IF(C198=1,(B198*(A199-'F2'!D$8)+B199*('F2'!D$8-A198))/(A199-A198),"")</f>
        <v/>
      </c>
    </row>
    <row r="199" spans="1:4" x14ac:dyDescent="0.25">
      <c r="A199" s="71">
        <v>184</v>
      </c>
      <c r="B199" s="77">
        <v>493.7</v>
      </c>
      <c r="C199" s="17" t="str">
        <f>IF('F2'!D$8=A199,1,IF(('F2'!D$8-A199)*('F2'!D$8-A200)&lt;0,1,""))</f>
        <v/>
      </c>
      <c r="D199" s="68" t="str">
        <f>IF(C199=1,(B199*(A200-'F2'!D$8)+B200*('F2'!D$8-A199))/(A200-A199),"")</f>
        <v/>
      </c>
    </row>
    <row r="200" spans="1:4" x14ac:dyDescent="0.25">
      <c r="A200" s="71">
        <v>185</v>
      </c>
      <c r="B200" s="77">
        <v>493.4</v>
      </c>
      <c r="C200" s="17" t="str">
        <f>IF('F2'!D$8=A200,1,IF(('F2'!D$8-A200)*('F2'!D$8-A201)&lt;0,1,""))</f>
        <v/>
      </c>
      <c r="D200" s="68" t="str">
        <f>IF(C200=1,(B200*(A201-'F2'!D$8)+B201*('F2'!D$8-A200))/(A201-A200),"")</f>
        <v/>
      </c>
    </row>
    <row r="201" spans="1:4" x14ac:dyDescent="0.25">
      <c r="A201" s="71">
        <v>186</v>
      </c>
      <c r="B201" s="77">
        <v>493.1</v>
      </c>
      <c r="C201" s="17" t="str">
        <f>IF('F2'!D$8=A201,1,IF(('F2'!D$8-A201)*('F2'!D$8-A202)&lt;0,1,""))</f>
        <v/>
      </c>
      <c r="D201" s="68" t="str">
        <f>IF(C201=1,(B201*(A202-'F2'!D$8)+B202*('F2'!D$8-A201))/(A202-A201),"")</f>
        <v/>
      </c>
    </row>
    <row r="202" spans="1:4" x14ac:dyDescent="0.25">
      <c r="A202" s="71">
        <v>187</v>
      </c>
      <c r="B202" s="77">
        <v>492.8</v>
      </c>
      <c r="C202" s="17" t="str">
        <f>IF('F2'!D$8=A202,1,IF(('F2'!D$8-A202)*('F2'!D$8-A203)&lt;0,1,""))</f>
        <v/>
      </c>
      <c r="D202" s="68" t="str">
        <f>IF(C202=1,(B202*(A203-'F2'!D$8)+B203*('F2'!D$8-A202))/(A203-A202),"")</f>
        <v/>
      </c>
    </row>
    <row r="203" spans="1:4" x14ac:dyDescent="0.25">
      <c r="A203" s="71">
        <v>188</v>
      </c>
      <c r="B203" s="77">
        <v>492.6</v>
      </c>
      <c r="C203" s="17" t="str">
        <f>IF('F2'!D$8=A203,1,IF(('F2'!D$8-A203)*('F2'!D$8-A204)&lt;0,1,""))</f>
        <v/>
      </c>
      <c r="D203" s="68" t="str">
        <f>IF(C203=1,(B203*(A204-'F2'!D$8)+B204*('F2'!D$8-A203))/(A204-A203),"")</f>
        <v/>
      </c>
    </row>
    <row r="204" spans="1:4" x14ac:dyDescent="0.25">
      <c r="A204" s="71">
        <v>189</v>
      </c>
      <c r="B204" s="77">
        <v>492.3</v>
      </c>
      <c r="C204" s="17" t="str">
        <f>IF('F2'!D$8=A204,1,IF(('F2'!D$8-A204)*('F2'!D$8-A205)&lt;0,1,""))</f>
        <v/>
      </c>
      <c r="D204" s="68" t="str">
        <f>IF(C204=1,(B204*(A205-'F2'!D$8)+B205*('F2'!D$8-A204))/(A205-A204),"")</f>
        <v/>
      </c>
    </row>
    <row r="205" spans="1:4" x14ac:dyDescent="0.25">
      <c r="A205" s="71">
        <v>190</v>
      </c>
      <c r="B205" s="77">
        <v>492</v>
      </c>
      <c r="C205" s="17" t="str">
        <f>IF('F2'!D$8=A205,1,IF(('F2'!D$8-A205)*('F2'!D$8-A206)&lt;0,1,""))</f>
        <v/>
      </c>
      <c r="D205" s="68" t="str">
        <f>IF(C205=1,(B205*(A206-'F2'!D$8)+B206*('F2'!D$8-A205))/(A206-A205),"")</f>
        <v/>
      </c>
    </row>
    <row r="206" spans="1:4" x14ac:dyDescent="0.25">
      <c r="A206" s="71">
        <v>191</v>
      </c>
      <c r="B206" s="77">
        <v>491.8</v>
      </c>
      <c r="C206" s="17" t="str">
        <f>IF('F2'!D$8=A206,1,IF(('F2'!D$8-A206)*('F2'!D$8-A207)&lt;0,1,""))</f>
        <v/>
      </c>
      <c r="D206" s="68" t="str">
        <f>IF(C206=1,(B206*(A207-'F2'!D$8)+B207*('F2'!D$8-A206))/(A207-A206),"")</f>
        <v/>
      </c>
    </row>
    <row r="207" spans="1:4" x14ac:dyDescent="0.25">
      <c r="A207" s="71">
        <v>192</v>
      </c>
      <c r="B207" s="77">
        <v>491.5</v>
      </c>
      <c r="C207" s="17" t="str">
        <f>IF('F2'!D$8=A207,1,IF(('F2'!D$8-A207)*('F2'!D$8-A208)&lt;0,1,""))</f>
        <v/>
      </c>
      <c r="D207" s="68" t="str">
        <f>IF(C207=1,(B207*(A208-'F2'!D$8)+B208*('F2'!D$8-A207))/(A208-A207),"")</f>
        <v/>
      </c>
    </row>
    <row r="208" spans="1:4" x14ac:dyDescent="0.25">
      <c r="A208" s="71">
        <v>193</v>
      </c>
      <c r="B208" s="77">
        <v>491.3</v>
      </c>
      <c r="C208" s="17" t="str">
        <f>IF('F2'!D$8=A208,1,IF(('F2'!D$8-A208)*('F2'!D$8-A209)&lt;0,1,""))</f>
        <v/>
      </c>
      <c r="D208" s="68" t="str">
        <f>IF(C208=1,(B208*(A209-'F2'!D$8)+B209*('F2'!D$8-A208))/(A209-A208),"")</f>
        <v/>
      </c>
    </row>
    <row r="209" spans="1:4" x14ac:dyDescent="0.25">
      <c r="A209" s="71">
        <v>194</v>
      </c>
      <c r="B209" s="77">
        <v>491.1</v>
      </c>
      <c r="C209" s="17" t="str">
        <f>IF('F2'!D$8=A209,1,IF(('F2'!D$8-A209)*('F2'!D$8-A210)&lt;0,1,""))</f>
        <v/>
      </c>
      <c r="D209" s="68" t="str">
        <f>IF(C209=1,(B209*(A210-'F2'!D$8)+B210*('F2'!D$8-A209))/(A210-A209),"")</f>
        <v/>
      </c>
    </row>
    <row r="210" spans="1:4" x14ac:dyDescent="0.25">
      <c r="A210" s="71">
        <v>195</v>
      </c>
      <c r="B210" s="77">
        <v>490.8</v>
      </c>
      <c r="C210" s="17" t="str">
        <f>IF('F2'!D$8=A210,1,IF(('F2'!D$8-A210)*('F2'!D$8-A211)&lt;0,1,""))</f>
        <v/>
      </c>
      <c r="D210" s="68" t="str">
        <f>IF(C210=1,(B210*(A211-'F2'!D$8)+B211*('F2'!D$8-A210))/(A211-A210),"")</f>
        <v/>
      </c>
    </row>
    <row r="211" spans="1:4" x14ac:dyDescent="0.25">
      <c r="A211" s="71">
        <v>196</v>
      </c>
      <c r="B211" s="77">
        <v>490.6</v>
      </c>
      <c r="C211" s="17" t="str">
        <f>IF('F2'!D$8=A211,1,IF(('F2'!D$8-A211)*('F2'!D$8-A212)&lt;0,1,""))</f>
        <v/>
      </c>
      <c r="D211" s="68" t="str">
        <f>IF(C211=1,(B211*(A212-'F2'!D$8)+B212*('F2'!D$8-A211))/(A212-A211),"")</f>
        <v/>
      </c>
    </row>
    <row r="212" spans="1:4" x14ac:dyDescent="0.25">
      <c r="A212" s="71">
        <v>197</v>
      </c>
      <c r="B212" s="77">
        <v>490.3</v>
      </c>
      <c r="C212" s="17" t="str">
        <f>IF('F2'!D$8=A212,1,IF(('F2'!D$8-A212)*('F2'!D$8-A213)&lt;0,1,""))</f>
        <v/>
      </c>
      <c r="D212" s="68" t="str">
        <f>IF(C212=1,(B212*(A213-'F2'!D$8)+B213*('F2'!D$8-A212))/(A213-A212),"")</f>
        <v/>
      </c>
    </row>
    <row r="213" spans="1:4" x14ac:dyDescent="0.25">
      <c r="A213" s="71">
        <v>198</v>
      </c>
      <c r="B213" s="77">
        <v>490.1</v>
      </c>
      <c r="C213" s="17" t="str">
        <f>IF('F2'!D$8=A213,1,IF(('F2'!D$8-A213)*('F2'!D$8-A214)&lt;0,1,""))</f>
        <v/>
      </c>
      <c r="D213" s="68" t="str">
        <f>IF(C213=1,(B213*(A214-'F2'!D$8)+B214*('F2'!D$8-A213))/(A214-A213),"")</f>
        <v/>
      </c>
    </row>
    <row r="214" spans="1:4" x14ac:dyDescent="0.25">
      <c r="A214" s="71">
        <v>199</v>
      </c>
      <c r="B214" s="77">
        <v>489.9</v>
      </c>
      <c r="C214" s="17" t="str">
        <f>IF('F2'!D$8=A214,1,IF(('F2'!D$8-A214)*('F2'!D$8-A215)&lt;0,1,""))</f>
        <v/>
      </c>
      <c r="D214" s="68" t="str">
        <f>IF(C214=1,(B214*(A215-'F2'!D$8)+B215*('F2'!D$8-A214))/(A215-A214),"")</f>
        <v/>
      </c>
    </row>
    <row r="215" spans="1:4" x14ac:dyDescent="0.25">
      <c r="A215" s="71">
        <v>200</v>
      </c>
      <c r="B215" s="77">
        <v>489.7</v>
      </c>
      <c r="C215" s="17" t="str">
        <f>IF('F2'!D$8=A215,1,IF(('F2'!D$8-A215)*('F2'!D$8-A216)&lt;0,1,""))</f>
        <v/>
      </c>
      <c r="D215" s="68" t="str">
        <f>IF(C215=1,(B215*(A216-'F2'!D$8)+B216*('F2'!D$8-A215))/(A216-A215),"")</f>
        <v/>
      </c>
    </row>
    <row r="216" spans="1:4" x14ac:dyDescent="0.25">
      <c r="A216" s="71">
        <v>201</v>
      </c>
      <c r="B216" s="77">
        <v>489.4</v>
      </c>
      <c r="C216" s="17" t="str">
        <f>IF('F2'!D$8=A216,1,IF(('F2'!D$8-A216)*('F2'!D$8-A217)&lt;0,1,""))</f>
        <v/>
      </c>
      <c r="D216" s="68" t="str">
        <f>IF(C216=1,(B216*(A217-'F2'!D$8)+B217*('F2'!D$8-A216))/(A217-A216),"")</f>
        <v/>
      </c>
    </row>
    <row r="217" spans="1:4" x14ac:dyDescent="0.25">
      <c r="A217" s="71">
        <v>202</v>
      </c>
      <c r="B217" s="77">
        <v>489.2</v>
      </c>
      <c r="C217" s="17" t="str">
        <f>IF('F2'!D$8=A217,1,IF(('F2'!D$8-A217)*('F2'!D$8-A218)&lt;0,1,""))</f>
        <v/>
      </c>
      <c r="D217" s="68" t="str">
        <f>IF(C217=1,(B217*(A218-'F2'!D$8)+B218*('F2'!D$8-A217))/(A218-A217),"")</f>
        <v/>
      </c>
    </row>
    <row r="218" spans="1:4" x14ac:dyDescent="0.25">
      <c r="A218" s="71">
        <v>203</v>
      </c>
      <c r="B218" s="77">
        <v>489</v>
      </c>
      <c r="C218" s="17" t="str">
        <f>IF('F2'!D$8=A218,1,IF(('F2'!D$8-A218)*('F2'!D$8-A219)&lt;0,1,""))</f>
        <v/>
      </c>
      <c r="D218" s="68" t="str">
        <f>IF(C218=1,(B218*(A219-'F2'!D$8)+B219*('F2'!D$8-A218))/(A219-A218),"")</f>
        <v/>
      </c>
    </row>
    <row r="219" spans="1:4" x14ac:dyDescent="0.25">
      <c r="A219" s="71">
        <v>204</v>
      </c>
      <c r="B219" s="77">
        <v>488.7</v>
      </c>
      <c r="C219" s="17" t="str">
        <f>IF('F2'!D$8=A219,1,IF(('F2'!D$8-A219)*('F2'!D$8-A220)&lt;0,1,""))</f>
        <v/>
      </c>
      <c r="D219" s="68" t="str">
        <f>IF(C219=1,(B219*(A220-'F2'!D$8)+B220*('F2'!D$8-A219))/(A220-A219),"")</f>
        <v/>
      </c>
    </row>
    <row r="220" spans="1:4" x14ac:dyDescent="0.25">
      <c r="A220" s="71">
        <v>205</v>
      </c>
      <c r="B220" s="77">
        <v>488.5</v>
      </c>
      <c r="C220" s="17" t="str">
        <f>IF('F2'!D$8=A220,1,IF(('F2'!D$8-A220)*('F2'!D$8-A221)&lt;0,1,""))</f>
        <v/>
      </c>
      <c r="D220" s="68" t="str">
        <f>IF(C220=1,(B220*(A221-'F2'!D$8)+B221*('F2'!D$8-A220))/(A221-A220),"")</f>
        <v/>
      </c>
    </row>
    <row r="221" spans="1:4" x14ac:dyDescent="0.25">
      <c r="A221" s="71">
        <v>206</v>
      </c>
      <c r="B221" s="77">
        <v>488.3</v>
      </c>
      <c r="C221" s="17" t="str">
        <f>IF('F2'!D$8=A221,1,IF(('F2'!D$8-A221)*('F2'!D$8-A222)&lt;0,1,""))</f>
        <v/>
      </c>
      <c r="D221" s="68" t="str">
        <f>IF(C221=1,(B221*(A222-'F2'!D$8)+B222*('F2'!D$8-A221))/(A222-A221),"")</f>
        <v/>
      </c>
    </row>
    <row r="222" spans="1:4" x14ac:dyDescent="0.25">
      <c r="A222" s="71">
        <v>207</v>
      </c>
      <c r="B222" s="77">
        <v>488.1</v>
      </c>
      <c r="C222" s="17" t="str">
        <f>IF('F2'!D$8=A222,1,IF(('F2'!D$8-A222)*('F2'!D$8-A223)&lt;0,1,""))</f>
        <v/>
      </c>
      <c r="D222" s="68" t="str">
        <f>IF(C222=1,(B222*(A223-'F2'!D$8)+B223*('F2'!D$8-A222))/(A223-A222),"")</f>
        <v/>
      </c>
    </row>
    <row r="223" spans="1:4" x14ac:dyDescent="0.25">
      <c r="A223" s="71">
        <v>208</v>
      </c>
      <c r="B223" s="77">
        <v>487.9</v>
      </c>
      <c r="C223" s="17" t="str">
        <f>IF('F2'!D$8=A223,1,IF(('F2'!D$8-A223)*('F2'!D$8-A224)&lt;0,1,""))</f>
        <v/>
      </c>
      <c r="D223" s="68" t="str">
        <f>IF(C223=1,(B223*(A224-'F2'!D$8)+B224*('F2'!D$8-A223))/(A224-A223),"")</f>
        <v/>
      </c>
    </row>
    <row r="224" spans="1:4" x14ac:dyDescent="0.25">
      <c r="A224" s="71">
        <v>209</v>
      </c>
      <c r="B224" s="77">
        <v>487.6</v>
      </c>
      <c r="C224" s="17" t="str">
        <f>IF('F2'!D$8=A224,1,IF(('F2'!D$8-A224)*('F2'!D$8-A225)&lt;0,1,""))</f>
        <v/>
      </c>
      <c r="D224" s="68" t="str">
        <f>IF(C224=1,(B224*(A225-'F2'!D$8)+B225*('F2'!D$8-A224))/(A225-A224),"")</f>
        <v/>
      </c>
    </row>
    <row r="225" spans="1:4" x14ac:dyDescent="0.25">
      <c r="A225" s="71">
        <v>210</v>
      </c>
      <c r="B225" s="77">
        <v>487.4</v>
      </c>
      <c r="C225" s="17" t="str">
        <f>IF('F2'!D$8=A225,1,IF(('F2'!D$8-A225)*('F2'!D$8-A226)&lt;0,1,""))</f>
        <v/>
      </c>
      <c r="D225" s="68" t="str">
        <f>IF(C225=1,(B225*(A226-'F2'!D$8)+B226*('F2'!D$8-A225))/(A226-A225),"")</f>
        <v/>
      </c>
    </row>
    <row r="226" spans="1:4" x14ac:dyDescent="0.25">
      <c r="A226" s="71">
        <v>211</v>
      </c>
      <c r="B226" s="77">
        <v>487.2</v>
      </c>
      <c r="C226" s="17" t="str">
        <f>IF('F2'!D$8=A226,1,IF(('F2'!D$8-A226)*('F2'!D$8-A227)&lt;0,1,""))</f>
        <v/>
      </c>
      <c r="D226" s="68" t="str">
        <f>IF(C226=1,(B226*(A227-'F2'!D$8)+B227*('F2'!D$8-A226))/(A227-A226),"")</f>
        <v/>
      </c>
    </row>
    <row r="227" spans="1:4" x14ac:dyDescent="0.25">
      <c r="A227" s="71">
        <v>212</v>
      </c>
      <c r="B227" s="77">
        <v>487</v>
      </c>
      <c r="C227" s="17" t="str">
        <f>IF('F2'!D$8=A227,1,IF(('F2'!D$8-A227)*('F2'!D$8-A228)&lt;0,1,""))</f>
        <v/>
      </c>
      <c r="D227" s="68" t="str">
        <f>IF(C227=1,(B227*(A228-'F2'!D$8)+B228*('F2'!D$8-A227))/(A228-A227),"")</f>
        <v/>
      </c>
    </row>
    <row r="228" spans="1:4" x14ac:dyDescent="0.25">
      <c r="A228" s="71">
        <v>213</v>
      </c>
      <c r="B228" s="77">
        <v>486.8</v>
      </c>
      <c r="C228" s="17" t="str">
        <f>IF('F2'!D$8=A228,1,IF(('F2'!D$8-A228)*('F2'!D$8-A229)&lt;0,1,""))</f>
        <v/>
      </c>
      <c r="D228" s="68" t="str">
        <f>IF(C228=1,(B228*(A229-'F2'!D$8)+B229*('F2'!D$8-A228))/(A229-A228),"")</f>
        <v/>
      </c>
    </row>
    <row r="229" spans="1:4" x14ac:dyDescent="0.25">
      <c r="A229" s="71">
        <v>214</v>
      </c>
      <c r="B229" s="77">
        <v>486.5</v>
      </c>
      <c r="C229" s="17" t="str">
        <f>IF('F2'!D$8=A229,1,IF(('F2'!D$8-A229)*('F2'!D$8-A230)&lt;0,1,""))</f>
        <v/>
      </c>
      <c r="D229" s="68" t="str">
        <f>IF(C229=1,(B229*(A230-'F2'!D$8)+B230*('F2'!D$8-A229))/(A230-A229),"")</f>
        <v/>
      </c>
    </row>
    <row r="230" spans="1:4" x14ac:dyDescent="0.25">
      <c r="A230" s="71">
        <v>215</v>
      </c>
      <c r="B230" s="77">
        <v>486.3</v>
      </c>
      <c r="C230" s="17" t="str">
        <f>IF('F2'!D$8=A230,1,IF(('F2'!D$8-A230)*('F2'!D$8-A231)&lt;0,1,""))</f>
        <v/>
      </c>
      <c r="D230" s="68" t="str">
        <f>IF(C230=1,(B230*(A231-'F2'!D$8)+B231*('F2'!D$8-A230))/(A231-A230),"")</f>
        <v/>
      </c>
    </row>
    <row r="231" spans="1:4" x14ac:dyDescent="0.25">
      <c r="A231" s="71">
        <v>216</v>
      </c>
      <c r="B231" s="77">
        <v>486.1</v>
      </c>
      <c r="C231" s="17" t="str">
        <f>IF('F2'!D$8=A231,1,IF(('F2'!D$8-A231)*('F2'!D$8-A232)&lt;0,1,""))</f>
        <v/>
      </c>
      <c r="D231" s="68" t="str">
        <f>IF(C231=1,(B231*(A232-'F2'!D$8)+B232*('F2'!D$8-A231))/(A232-A231),"")</f>
        <v/>
      </c>
    </row>
    <row r="232" spans="1:4" x14ac:dyDescent="0.25">
      <c r="A232" s="71">
        <v>217</v>
      </c>
      <c r="B232" s="77">
        <v>485.9</v>
      </c>
      <c r="C232" s="17" t="str">
        <f>IF('F2'!D$8=A232,1,IF(('F2'!D$8-A232)*('F2'!D$8-A233)&lt;0,1,""))</f>
        <v/>
      </c>
      <c r="D232" s="68" t="str">
        <f>IF(C232=1,(B232*(A233-'F2'!D$8)+B233*('F2'!D$8-A232))/(A233-A232),"")</f>
        <v/>
      </c>
    </row>
    <row r="233" spans="1:4" x14ac:dyDescent="0.25">
      <c r="A233" s="71">
        <v>218</v>
      </c>
      <c r="B233" s="77">
        <v>485.6</v>
      </c>
      <c r="C233" s="17" t="str">
        <f>IF('F2'!D$8=A233,1,IF(('F2'!D$8-A233)*('F2'!D$8-A234)&lt;0,1,""))</f>
        <v/>
      </c>
      <c r="D233" s="68" t="str">
        <f>IF(C233=1,(B233*(A234-'F2'!D$8)+B234*('F2'!D$8-A233))/(A234-A233),"")</f>
        <v/>
      </c>
    </row>
    <row r="234" spans="1:4" x14ac:dyDescent="0.25">
      <c r="A234" s="71">
        <v>219</v>
      </c>
      <c r="B234" s="77">
        <v>485.4</v>
      </c>
      <c r="C234" s="17" t="str">
        <f>IF('F2'!D$8=A234,1,IF(('F2'!D$8-A234)*('F2'!D$8-A235)&lt;0,1,""))</f>
        <v/>
      </c>
      <c r="D234" s="68" t="str">
        <f>IF(C234=1,(B234*(A235-'F2'!D$8)+B235*('F2'!D$8-A234))/(A235-A234),"")</f>
        <v/>
      </c>
    </row>
    <row r="235" spans="1:4" x14ac:dyDescent="0.25">
      <c r="A235" s="71">
        <v>220</v>
      </c>
      <c r="B235" s="77">
        <v>485.2</v>
      </c>
      <c r="C235" s="17" t="str">
        <f>IF('F2'!D$8=A235,1,IF(('F2'!D$8-A235)*('F2'!D$8-A236)&lt;0,1,""))</f>
        <v/>
      </c>
      <c r="D235" s="68" t="str">
        <f>IF(C235=1,(B235*(A236-'F2'!D$8)+B236*('F2'!D$8-A235))/(A236-A235),"")</f>
        <v/>
      </c>
    </row>
    <row r="236" spans="1:4" x14ac:dyDescent="0.25">
      <c r="A236" s="71">
        <v>221</v>
      </c>
      <c r="B236" s="77">
        <v>484.9</v>
      </c>
      <c r="C236" s="17" t="str">
        <f>IF('F2'!D$8=A236,1,IF(('F2'!D$8-A236)*('F2'!D$8-A237)&lt;0,1,""))</f>
        <v/>
      </c>
      <c r="D236" s="68" t="str">
        <f>IF(C236=1,(B236*(A237-'F2'!D$8)+B237*('F2'!D$8-A236))/(A237-A236),"")</f>
        <v/>
      </c>
    </row>
    <row r="237" spans="1:4" x14ac:dyDescent="0.25">
      <c r="A237" s="71">
        <v>222</v>
      </c>
      <c r="B237" s="77">
        <v>484.7</v>
      </c>
      <c r="C237" s="17" t="str">
        <f>IF('F2'!D$8=A237,1,IF(('F2'!D$8-A237)*('F2'!D$8-A238)&lt;0,1,""))</f>
        <v/>
      </c>
      <c r="D237" s="68" t="str">
        <f>IF(C237=1,(B237*(A238-'F2'!D$8)+B238*('F2'!D$8-A237))/(A238-A237),"")</f>
        <v/>
      </c>
    </row>
    <row r="238" spans="1:4" x14ac:dyDescent="0.25">
      <c r="A238" s="71">
        <v>223</v>
      </c>
      <c r="B238" s="77">
        <v>484.5</v>
      </c>
      <c r="C238" s="17" t="str">
        <f>IF('F2'!D$8=A238,1,IF(('F2'!D$8-A238)*('F2'!D$8-A239)&lt;0,1,""))</f>
        <v/>
      </c>
      <c r="D238" s="68" t="str">
        <f>IF(C238=1,(B238*(A239-'F2'!D$8)+B239*('F2'!D$8-A238))/(A239-A238),"")</f>
        <v/>
      </c>
    </row>
    <row r="239" spans="1:4" x14ac:dyDescent="0.25">
      <c r="A239" s="71">
        <v>224</v>
      </c>
      <c r="B239" s="77">
        <v>484.2</v>
      </c>
      <c r="C239" s="17" t="str">
        <f>IF('F2'!D$8=A239,1,IF(('F2'!D$8-A239)*('F2'!D$8-A240)&lt;0,1,""))</f>
        <v/>
      </c>
      <c r="D239" s="68" t="str">
        <f>IF(C239=1,(B239*(A240-'F2'!D$8)+B240*('F2'!D$8-A239))/(A240-A239),"")</f>
        <v/>
      </c>
    </row>
    <row r="240" spans="1:4" x14ac:dyDescent="0.25">
      <c r="A240" s="71">
        <v>225</v>
      </c>
      <c r="B240" s="77">
        <v>484</v>
      </c>
      <c r="C240" s="17" t="str">
        <f>IF('F2'!D$8=A240,1,IF(('F2'!D$8-A240)*('F2'!D$8-A241)&lt;0,1,""))</f>
        <v/>
      </c>
      <c r="D240" s="68" t="str">
        <f>IF(C240=1,(B240*(A241-'F2'!D$8)+B241*('F2'!D$8-A240))/(A241-A240),"")</f>
        <v/>
      </c>
    </row>
    <row r="241" spans="1:4" x14ac:dyDescent="0.25">
      <c r="A241" s="71">
        <v>226</v>
      </c>
      <c r="B241" s="77">
        <v>483.8</v>
      </c>
      <c r="C241" s="17" t="str">
        <f>IF('F2'!D$8=A241,1,IF(('F2'!D$8-A241)*('F2'!D$8-A242)&lt;0,1,""))</f>
        <v/>
      </c>
      <c r="D241" s="68" t="str">
        <f>IF(C241=1,(B241*(A242-'F2'!D$8)+B242*('F2'!D$8-A241))/(A242-A241),"")</f>
        <v/>
      </c>
    </row>
    <row r="242" spans="1:4" x14ac:dyDescent="0.25">
      <c r="A242" s="71">
        <v>227</v>
      </c>
      <c r="B242" s="77">
        <v>483.5</v>
      </c>
      <c r="C242" s="17" t="str">
        <f>IF('F2'!D$8=A242,1,IF(('F2'!D$8-A242)*('F2'!D$8-A243)&lt;0,1,""))</f>
        <v/>
      </c>
      <c r="D242" s="68" t="str">
        <f>IF(C242=1,(B242*(A243-'F2'!D$8)+B243*('F2'!D$8-A242))/(A243-A242),"")</f>
        <v/>
      </c>
    </row>
    <row r="243" spans="1:4" x14ac:dyDescent="0.25">
      <c r="A243" s="71">
        <v>228</v>
      </c>
      <c r="B243" s="77">
        <v>483.3</v>
      </c>
      <c r="C243" s="17" t="str">
        <f>IF('F2'!D$8=A243,1,IF(('F2'!D$8-A243)*('F2'!D$8-A244)&lt;0,1,""))</f>
        <v/>
      </c>
      <c r="D243" s="68" t="str">
        <f>IF(C243=1,(B243*(A244-'F2'!D$8)+B244*('F2'!D$8-A243))/(A244-A243),"")</f>
        <v/>
      </c>
    </row>
    <row r="244" spans="1:4" x14ac:dyDescent="0.25">
      <c r="A244" s="71">
        <v>229</v>
      </c>
      <c r="B244" s="77">
        <v>483</v>
      </c>
      <c r="C244" s="17" t="str">
        <f>IF('F2'!D$8=A244,1,IF(('F2'!D$8-A244)*('F2'!D$8-A245)&lt;0,1,""))</f>
        <v/>
      </c>
      <c r="D244" s="68" t="str">
        <f>IF(C244=1,(B244*(A245-'F2'!D$8)+B245*('F2'!D$8-A244))/(A245-A244),"")</f>
        <v/>
      </c>
    </row>
    <row r="245" spans="1:4" x14ac:dyDescent="0.25">
      <c r="A245" s="71">
        <v>230</v>
      </c>
      <c r="B245" s="77">
        <v>482.8</v>
      </c>
      <c r="C245" s="17" t="str">
        <f>IF('F2'!D$8=A245,1,IF(('F2'!D$8-A245)*('F2'!D$8-A246)&lt;0,1,""))</f>
        <v/>
      </c>
      <c r="D245" s="68" t="str">
        <f>IF(C245=1,(B245*(A246-'F2'!D$8)+B246*('F2'!D$8-A245))/(A246-A245),"")</f>
        <v/>
      </c>
    </row>
    <row r="246" spans="1:4" x14ac:dyDescent="0.25">
      <c r="A246" s="71">
        <v>231</v>
      </c>
      <c r="B246" s="77">
        <v>482.5</v>
      </c>
      <c r="C246" s="17" t="str">
        <f>IF('F2'!D$8=A246,1,IF(('F2'!D$8-A246)*('F2'!D$8-A247)&lt;0,1,""))</f>
        <v/>
      </c>
      <c r="D246" s="68" t="str">
        <f>IF(C246=1,(B246*(A247-'F2'!D$8)+B247*('F2'!D$8-A246))/(A247-A246),"")</f>
        <v/>
      </c>
    </row>
    <row r="247" spans="1:4" x14ac:dyDescent="0.25">
      <c r="A247" s="71">
        <v>232</v>
      </c>
      <c r="B247" s="77">
        <v>482.2</v>
      </c>
      <c r="C247" s="17" t="str">
        <f>IF('F2'!D$8=A247,1,IF(('F2'!D$8-A247)*('F2'!D$8-A248)&lt;0,1,""))</f>
        <v/>
      </c>
      <c r="D247" s="68" t="str">
        <f>IF(C247=1,(B247*(A248-'F2'!D$8)+B248*('F2'!D$8-A247))/(A248-A247),"")</f>
        <v/>
      </c>
    </row>
    <row r="248" spans="1:4" x14ac:dyDescent="0.25">
      <c r="A248" s="71">
        <v>233</v>
      </c>
      <c r="B248" s="77">
        <v>482</v>
      </c>
      <c r="C248" s="17" t="str">
        <f>IF('F2'!D$8=A248,1,IF(('F2'!D$8-A248)*('F2'!D$8-A249)&lt;0,1,""))</f>
        <v/>
      </c>
      <c r="D248" s="68" t="str">
        <f>IF(C248=1,(B248*(A249-'F2'!D$8)+B249*('F2'!D$8-A248))/(A249-A248),"")</f>
        <v/>
      </c>
    </row>
    <row r="249" spans="1:4" x14ac:dyDescent="0.25">
      <c r="A249" s="71">
        <v>234</v>
      </c>
      <c r="B249" s="77">
        <v>481.7</v>
      </c>
      <c r="C249" s="17" t="str">
        <f>IF('F2'!D$8=A249,1,IF(('F2'!D$8-A249)*('F2'!D$8-A250)&lt;0,1,""))</f>
        <v/>
      </c>
      <c r="D249" s="68" t="str">
        <f>IF(C249=1,(B249*(A250-'F2'!D$8)+B250*('F2'!D$8-A249))/(A250-A249),"")</f>
        <v/>
      </c>
    </row>
    <row r="250" spans="1:4" x14ac:dyDescent="0.25">
      <c r="A250" s="71">
        <v>235</v>
      </c>
      <c r="B250" s="77">
        <v>481.4</v>
      </c>
      <c r="C250" s="17" t="str">
        <f>IF('F2'!D$8=A250,1,IF(('F2'!D$8-A250)*('F2'!D$8-A251)&lt;0,1,""))</f>
        <v/>
      </c>
      <c r="D250" s="68" t="str">
        <f>IF(C250=1,(B250*(A251-'F2'!D$8)+B251*('F2'!D$8-A250))/(A251-A250),"")</f>
        <v/>
      </c>
    </row>
    <row r="251" spans="1:4" x14ac:dyDescent="0.25">
      <c r="A251" s="71">
        <v>236</v>
      </c>
      <c r="B251" s="77">
        <v>481.1</v>
      </c>
      <c r="C251" s="17" t="str">
        <f>IF('F2'!D$8=A251,1,IF(('F2'!D$8-A251)*('F2'!D$8-A252)&lt;0,1,""))</f>
        <v/>
      </c>
      <c r="D251" s="68" t="str">
        <f>IF(C251=1,(B251*(A252-'F2'!D$8)+B252*('F2'!D$8-A251))/(A252-A251),"")</f>
        <v/>
      </c>
    </row>
    <row r="252" spans="1:4" x14ac:dyDescent="0.25">
      <c r="A252" s="71">
        <v>237</v>
      </c>
      <c r="B252" s="77">
        <v>480.8</v>
      </c>
      <c r="C252" s="17" t="str">
        <f>IF('F2'!D$8=A252,1,IF(('F2'!D$8-A252)*('F2'!D$8-A253)&lt;0,1,""))</f>
        <v/>
      </c>
      <c r="D252" s="68" t="str">
        <f>IF(C252=1,(B252*(A253-'F2'!D$8)+B253*('F2'!D$8-A252))/(A253-A252),"")</f>
        <v/>
      </c>
    </row>
    <row r="253" spans="1:4" x14ac:dyDescent="0.25">
      <c r="A253" s="71">
        <v>238</v>
      </c>
      <c r="B253" s="77">
        <v>480.5</v>
      </c>
      <c r="C253" s="17" t="str">
        <f>IF('F2'!D$8=A253,1,IF(('F2'!D$8-A253)*('F2'!D$8-A254)&lt;0,1,""))</f>
        <v/>
      </c>
      <c r="D253" s="68" t="str">
        <f>IF(C253=1,(B253*(A254-'F2'!D$8)+B254*('F2'!D$8-A253))/(A254-A253),"")</f>
        <v/>
      </c>
    </row>
    <row r="254" spans="1:4" x14ac:dyDescent="0.25">
      <c r="A254" s="71">
        <v>239</v>
      </c>
      <c r="B254" s="77">
        <v>480.2</v>
      </c>
      <c r="C254" s="17" t="str">
        <f>IF('F2'!D$8=A254,1,IF(('F2'!D$8-A254)*('F2'!D$8-A255)&lt;0,1,""))</f>
        <v/>
      </c>
      <c r="D254" s="68" t="str">
        <f>IF(C254=1,(B254*(A255-'F2'!D$8)+B255*('F2'!D$8-A254))/(A255-A254),"")</f>
        <v/>
      </c>
    </row>
    <row r="255" spans="1:4" x14ac:dyDescent="0.25">
      <c r="A255" s="71">
        <v>240</v>
      </c>
      <c r="B255" s="77">
        <v>479.9</v>
      </c>
      <c r="C255" s="17" t="str">
        <f>IF('F2'!D$8=A255,1,IF(('F2'!D$8-A255)*('F2'!D$8-A256)&lt;0,1,""))</f>
        <v/>
      </c>
      <c r="D255" s="68" t="str">
        <f>IF(C255=1,(B255*(A256-'F2'!D$8)+B256*('F2'!D$8-A255))/(A256-A255),"")</f>
        <v/>
      </c>
    </row>
    <row r="256" spans="1:4" x14ac:dyDescent="0.25">
      <c r="A256" s="71">
        <v>241</v>
      </c>
      <c r="B256" s="77">
        <v>479.6</v>
      </c>
      <c r="C256" s="17" t="str">
        <f>IF('F2'!D$8=A256,1,IF(('F2'!D$8-A256)*('F2'!D$8-A257)&lt;0,1,""))</f>
        <v/>
      </c>
      <c r="D256" s="68" t="str">
        <f>IF(C256=1,(B256*(A257-'F2'!D$8)+B257*('F2'!D$8-A256))/(A257-A256),"")</f>
        <v/>
      </c>
    </row>
    <row r="257" spans="1:4" x14ac:dyDescent="0.25">
      <c r="A257" s="71">
        <v>242</v>
      </c>
      <c r="B257" s="77">
        <v>479.3</v>
      </c>
      <c r="C257" s="17" t="str">
        <f>IF('F2'!D$8=A257,1,IF(('F2'!D$8-A257)*('F2'!D$8-A258)&lt;0,1,""))</f>
        <v/>
      </c>
      <c r="D257" s="68" t="str">
        <f>IF(C257=1,(B257*(A258-'F2'!D$8)+B258*('F2'!D$8-A257))/(A258-A257),"")</f>
        <v/>
      </c>
    </row>
    <row r="258" spans="1:4" x14ac:dyDescent="0.25">
      <c r="A258" s="71">
        <v>243</v>
      </c>
      <c r="B258" s="77">
        <v>478.9</v>
      </c>
      <c r="C258" s="17" t="str">
        <f>IF('F2'!D$8=A258,1,IF(('F2'!D$8-A258)*('F2'!D$8-A259)&lt;0,1,""))</f>
        <v/>
      </c>
      <c r="D258" s="68" t="str">
        <f>IF(C258=1,(B258*(A259-'F2'!D$8)+B259*('F2'!D$8-A258))/(A259-A258),"")</f>
        <v/>
      </c>
    </row>
    <row r="259" spans="1:4" x14ac:dyDescent="0.25">
      <c r="A259" s="71">
        <v>244</v>
      </c>
      <c r="B259" s="77">
        <v>478.6</v>
      </c>
      <c r="C259" s="17" t="str">
        <f>IF('F2'!D$8=A259,1,IF(('F2'!D$8-A259)*('F2'!D$8-A260)&lt;0,1,""))</f>
        <v/>
      </c>
      <c r="D259" s="68" t="str">
        <f>IF(C259=1,(B259*(A260-'F2'!D$8)+B260*('F2'!D$8-A259))/(A260-A259),"")</f>
        <v/>
      </c>
    </row>
    <row r="260" spans="1:4" x14ac:dyDescent="0.25">
      <c r="A260" s="71">
        <v>245</v>
      </c>
      <c r="B260" s="77">
        <v>478.2</v>
      </c>
      <c r="C260" s="17" t="str">
        <f>IF('F2'!D$8=A260,1,IF(('F2'!D$8-A260)*('F2'!D$8-A261)&lt;0,1,""))</f>
        <v/>
      </c>
      <c r="D260" s="68" t="str">
        <f>IF(C260=1,(B260*(A261-'F2'!D$8)+B261*('F2'!D$8-A260))/(A261-A260),"")</f>
        <v/>
      </c>
    </row>
    <row r="261" spans="1:4" x14ac:dyDescent="0.25">
      <c r="A261" s="71">
        <v>246</v>
      </c>
      <c r="B261" s="77">
        <v>477.8</v>
      </c>
      <c r="C261" s="17" t="str">
        <f>IF('F2'!D$8=A261,1,IF(('F2'!D$8-A261)*('F2'!D$8-A262)&lt;0,1,""))</f>
        <v/>
      </c>
      <c r="D261" s="68" t="str">
        <f>IF(C261=1,(B261*(A262-'F2'!D$8)+B262*('F2'!D$8-A261))/(A262-A261),"")</f>
        <v/>
      </c>
    </row>
    <row r="262" spans="1:4" x14ac:dyDescent="0.25">
      <c r="A262" s="71">
        <v>247</v>
      </c>
      <c r="B262" s="77">
        <v>477.4</v>
      </c>
      <c r="C262" s="17" t="str">
        <f>IF('F2'!D$8=A262,1,IF(('F2'!D$8-A262)*('F2'!D$8-A263)&lt;0,1,""))</f>
        <v/>
      </c>
      <c r="D262" s="68" t="str">
        <f>IF(C262=1,(B262*(A263-'F2'!D$8)+B263*('F2'!D$8-A262))/(A263-A262),"")</f>
        <v/>
      </c>
    </row>
    <row r="263" spans="1:4" x14ac:dyDescent="0.25">
      <c r="A263" s="71">
        <v>248</v>
      </c>
      <c r="B263" s="77">
        <v>477</v>
      </c>
      <c r="C263" s="17" t="str">
        <f>IF('F2'!D$8=A263,1,IF(('F2'!D$8-A263)*('F2'!D$8-A264)&lt;0,1,""))</f>
        <v/>
      </c>
      <c r="D263" s="68" t="str">
        <f>IF(C263=1,(B263*(A264-'F2'!D$8)+B264*('F2'!D$8-A263))/(A264-A263),"")</f>
        <v/>
      </c>
    </row>
    <row r="264" spans="1:4" x14ac:dyDescent="0.25">
      <c r="A264" s="71">
        <v>249</v>
      </c>
      <c r="B264" s="77">
        <v>476.6</v>
      </c>
      <c r="C264" s="17" t="str">
        <f>IF('F2'!D$8=A264,1,IF(('F2'!D$8-A264)*('F2'!D$8-A265)&lt;0,1,""))</f>
        <v/>
      </c>
      <c r="D264" s="68" t="str">
        <f>IF(C264=1,(B264*(A265-'F2'!D$8)+B265*('F2'!D$8-A264))/(A265-A264),"")</f>
        <v/>
      </c>
    </row>
    <row r="265" spans="1:4" x14ac:dyDescent="0.25">
      <c r="A265" s="71">
        <v>250</v>
      </c>
      <c r="B265" s="77">
        <v>476.2</v>
      </c>
      <c r="C265" s="17" t="str">
        <f>IF('F2'!D$8=A265,1,IF(('F2'!D$8-A265)*('F2'!D$8-A266)&lt;0,1,""))</f>
        <v/>
      </c>
      <c r="D265" s="68" t="str">
        <f>IF(C265=1,(B265*(A266-'F2'!D$8)+B266*('F2'!D$8-A265))/(A266-A265),"")</f>
        <v/>
      </c>
    </row>
    <row r="266" spans="1:4" x14ac:dyDescent="0.25">
      <c r="A266" s="71">
        <v>251</v>
      </c>
      <c r="B266" s="77">
        <v>475.7</v>
      </c>
      <c r="C266" s="17" t="str">
        <f>IF('F2'!D$8=A266,1,IF(('F2'!D$8-A266)*('F2'!D$8-A267)&lt;0,1,""))</f>
        <v/>
      </c>
      <c r="D266" s="68" t="str">
        <f>IF(C266=1,(B266*(A267-'F2'!D$8)+B267*('F2'!D$8-A266))/(A267-A266),"")</f>
        <v/>
      </c>
    </row>
    <row r="267" spans="1:4" x14ac:dyDescent="0.25">
      <c r="A267" s="71">
        <v>252</v>
      </c>
      <c r="B267" s="77">
        <v>475.2</v>
      </c>
      <c r="C267" s="17" t="str">
        <f>IF('F2'!D$8=A267,1,IF(('F2'!D$8-A267)*('F2'!D$8-A268)&lt;0,1,""))</f>
        <v/>
      </c>
      <c r="D267" s="68" t="str">
        <f>IF(C267=1,(B267*(A268-'F2'!D$8)+B268*('F2'!D$8-A267))/(A268-A267),"")</f>
        <v/>
      </c>
    </row>
    <row r="268" spans="1:4" x14ac:dyDescent="0.25">
      <c r="A268" s="71">
        <v>253</v>
      </c>
      <c r="B268" s="77">
        <v>474.7</v>
      </c>
      <c r="C268" s="17" t="str">
        <f>IF('F2'!D$8=A268,1,IF(('F2'!D$8-A268)*('F2'!D$8-A269)&lt;0,1,""))</f>
        <v/>
      </c>
      <c r="D268" s="68" t="str">
        <f>IF(C268=1,(B268*(A269-'F2'!D$8)+B269*('F2'!D$8-A268))/(A269-A268),"")</f>
        <v/>
      </c>
    </row>
    <row r="269" spans="1:4" x14ac:dyDescent="0.25">
      <c r="A269" s="71">
        <v>254</v>
      </c>
      <c r="B269" s="77">
        <v>474.2</v>
      </c>
      <c r="C269" s="17" t="str">
        <f>IF('F2'!D$8=A269,1,IF(('F2'!D$8-A269)*('F2'!D$8-A270)&lt;0,1,""))</f>
        <v/>
      </c>
      <c r="D269" s="68" t="str">
        <f>IF(C269=1,(B269*(A270-'F2'!D$8)+B270*('F2'!D$8-A269))/(A270-A269),"")</f>
        <v/>
      </c>
    </row>
    <row r="270" spans="1:4" x14ac:dyDescent="0.25">
      <c r="A270" s="71">
        <v>255</v>
      </c>
      <c r="B270" s="77">
        <v>473.6</v>
      </c>
      <c r="C270" s="17" t="str">
        <f>IF('F2'!D$8=A270,1,IF(('F2'!D$8-A270)*('F2'!D$8-A271)&lt;0,1,""))</f>
        <v/>
      </c>
      <c r="D270" s="68" t="str">
        <f>IF(C270=1,(B270*(A271-'F2'!D$8)+B271*('F2'!D$8-A270))/(A271-A270),"")</f>
        <v/>
      </c>
    </row>
    <row r="271" spans="1:4" x14ac:dyDescent="0.25">
      <c r="A271" s="71">
        <v>256</v>
      </c>
      <c r="B271" s="77">
        <v>473.1</v>
      </c>
      <c r="C271" s="17" t="str">
        <f>IF('F2'!D$8=A271,1,IF(('F2'!D$8-A271)*('F2'!D$8-A272)&lt;0,1,""))</f>
        <v/>
      </c>
      <c r="D271" s="68" t="str">
        <f>IF(C271=1,(B271*(A272-'F2'!D$8)+B272*('F2'!D$8-A271))/(A272-A271),"")</f>
        <v/>
      </c>
    </row>
    <row r="272" spans="1:4" x14ac:dyDescent="0.25">
      <c r="A272" s="71">
        <v>257</v>
      </c>
      <c r="B272" s="77">
        <v>472.4</v>
      </c>
      <c r="C272" s="17" t="str">
        <f>IF('F2'!D$8=A272,1,IF(('F2'!D$8-A272)*('F2'!D$8-A273)&lt;0,1,""))</f>
        <v/>
      </c>
      <c r="D272" s="68" t="str">
        <f>IF(C272=1,(B272*(A273-'F2'!D$8)+B273*('F2'!D$8-A272))/(A273-A272),"")</f>
        <v/>
      </c>
    </row>
    <row r="273" spans="1:4" x14ac:dyDescent="0.25">
      <c r="A273" s="71">
        <v>258</v>
      </c>
      <c r="B273" s="77">
        <v>471.8</v>
      </c>
      <c r="C273" s="17" t="str">
        <f>IF('F2'!D$8=A273,1,IF(('F2'!D$8-A273)*('F2'!D$8-A274)&lt;0,1,""))</f>
        <v/>
      </c>
      <c r="D273" s="68" t="str">
        <f>IF(C273=1,(B273*(A274-'F2'!D$8)+B274*('F2'!D$8-A273))/(A274-A273),"")</f>
        <v/>
      </c>
    </row>
    <row r="274" spans="1:4" x14ac:dyDescent="0.25">
      <c r="A274" s="71">
        <v>259</v>
      </c>
      <c r="B274" s="77">
        <v>471.1</v>
      </c>
      <c r="C274" s="17" t="str">
        <f>IF('F2'!D$8=A274,1,IF(('F2'!D$8-A274)*('F2'!D$8-A275)&lt;0,1,""))</f>
        <v/>
      </c>
      <c r="D274" s="68" t="str">
        <f>IF(C274=1,(B274*(A275-'F2'!D$8)+B275*('F2'!D$8-A274))/(A275-A274),"")</f>
        <v/>
      </c>
    </row>
    <row r="275" spans="1:4" x14ac:dyDescent="0.25">
      <c r="A275" s="71">
        <v>260</v>
      </c>
      <c r="B275" s="77">
        <v>470.3</v>
      </c>
      <c r="C275" s="17" t="str">
        <f>IF('F2'!D$8=A275,1,IF(('F2'!D$8-A275)*('F2'!D$8-A276)&lt;0,1,""))</f>
        <v/>
      </c>
      <c r="D275" s="68" t="str">
        <f>IF(C275=1,(B275*(A276-'F2'!D$8)+B276*('F2'!D$8-A275))/(A276-A275),"")</f>
        <v/>
      </c>
    </row>
    <row r="276" spans="1:4" x14ac:dyDescent="0.25">
      <c r="A276" s="71">
        <v>261</v>
      </c>
      <c r="B276" s="77">
        <v>469.5</v>
      </c>
      <c r="C276" s="17" t="str">
        <f>IF('F2'!D$8=A276,1,IF(('F2'!D$8-A276)*('F2'!D$8-A277)&lt;0,1,""))</f>
        <v/>
      </c>
      <c r="D276" s="68" t="str">
        <f>IF(C276=1,(B276*(A277-'F2'!D$8)+B277*('F2'!D$8-A276))/(A277-A276),"")</f>
        <v/>
      </c>
    </row>
    <row r="277" spans="1:4" x14ac:dyDescent="0.25">
      <c r="A277" s="71">
        <v>262</v>
      </c>
      <c r="B277" s="77">
        <v>468.6</v>
      </c>
      <c r="C277" s="17" t="str">
        <f>IF('F2'!D$8=A277,1,IF(('F2'!D$8-A277)*('F2'!D$8-A278)&lt;0,1,""))</f>
        <v/>
      </c>
      <c r="D277" s="68" t="str">
        <f>IF(C277=1,(B277*(A278-'F2'!D$8)+B278*('F2'!D$8-A277))/(A278-A277),"")</f>
        <v/>
      </c>
    </row>
    <row r="278" spans="1:4" x14ac:dyDescent="0.25">
      <c r="A278" s="71">
        <v>263</v>
      </c>
      <c r="B278" s="77">
        <v>467.7</v>
      </c>
      <c r="C278" s="17" t="str">
        <f>IF('F2'!D$8=A278,1,IF(('F2'!D$8-A278)*('F2'!D$8-A279)&lt;0,1,""))</f>
        <v/>
      </c>
      <c r="D278" s="68" t="str">
        <f>IF(C278=1,(B278*(A279-'F2'!D$8)+B279*('F2'!D$8-A278))/(A279-A278),"")</f>
        <v/>
      </c>
    </row>
    <row r="279" spans="1:4" x14ac:dyDescent="0.25">
      <c r="A279" s="71">
        <v>264</v>
      </c>
      <c r="B279" s="77">
        <v>466.6</v>
      </c>
      <c r="C279" s="17" t="str">
        <f>IF('F2'!D$8=A279,1,IF(('F2'!D$8-A279)*('F2'!D$8-A280)&lt;0,1,""))</f>
        <v/>
      </c>
      <c r="D279" s="68" t="str">
        <f>IF(C279=1,(B279*(A280-'F2'!D$8)+B280*('F2'!D$8-A279))/(A280-A279),"")</f>
        <v/>
      </c>
    </row>
    <row r="280" spans="1:4" x14ac:dyDescent="0.25">
      <c r="A280" s="71">
        <v>265</v>
      </c>
      <c r="B280" s="77">
        <v>465.5</v>
      </c>
      <c r="C280" s="17" t="str">
        <f>IF('F2'!D$8=A280,1,IF(('F2'!D$8-A280)*('F2'!D$8-A281)&lt;0,1,""))</f>
        <v/>
      </c>
      <c r="D280" s="68" t="str">
        <f>IF(C280=1,(B280*(A281-'F2'!D$8)+B281*('F2'!D$8-A280))/(A281-A280),"")</f>
        <v/>
      </c>
    </row>
    <row r="281" spans="1:4" x14ac:dyDescent="0.25">
      <c r="A281" s="71">
        <v>266</v>
      </c>
      <c r="B281" s="77">
        <v>464.1</v>
      </c>
      <c r="C281" s="17" t="str">
        <f>IF('F2'!D$8=A281,1,IF(('F2'!D$8-A281)*('F2'!D$8-A282)&lt;0,1,""))</f>
        <v/>
      </c>
      <c r="D281" s="68" t="str">
        <f>IF(C281=1,(B281*(A282-'F2'!D$8)+B282*('F2'!D$8-A281))/(A282-A281),"")</f>
        <v/>
      </c>
    </row>
    <row r="282" spans="1:4" x14ac:dyDescent="0.25">
      <c r="A282" s="71">
        <v>267</v>
      </c>
      <c r="B282" s="77">
        <v>462.6</v>
      </c>
      <c r="C282" s="17" t="str">
        <f>IF('F2'!D$8=A282,1,IF(('F2'!D$8-A282)*('F2'!D$8-A283)&lt;0,1,""))</f>
        <v/>
      </c>
      <c r="D282" s="68" t="str">
        <f>IF(C282=1,(B282*(A283-'F2'!D$8)+B283*('F2'!D$8-A282))/(A283-A282),"")</f>
        <v/>
      </c>
    </row>
    <row r="283" spans="1:4" x14ac:dyDescent="0.25">
      <c r="A283" s="71">
        <v>268</v>
      </c>
      <c r="B283" s="77">
        <v>460.9</v>
      </c>
      <c r="C283" s="17" t="str">
        <f>IF('F2'!D$8=A283,1,IF(('F2'!D$8-A283)*('F2'!D$8-A284)&lt;0,1,""))</f>
        <v/>
      </c>
      <c r="D283" s="68" t="str">
        <f>IF(C283=1,(B283*(A284-'F2'!D$8)+B284*('F2'!D$8-A283))/(A284-A283),"")</f>
        <v/>
      </c>
    </row>
    <row r="284" spans="1:4" x14ac:dyDescent="0.25">
      <c r="A284" s="71">
        <v>269</v>
      </c>
      <c r="B284" s="77">
        <v>459</v>
      </c>
      <c r="C284" s="17" t="str">
        <f>IF('F2'!D$8=A284,1,IF(('F2'!D$8-A284)*('F2'!D$8-A285)&lt;0,1,""))</f>
        <v/>
      </c>
      <c r="D284" s="68" t="str">
        <f>IF(C284=1,(B284*(A285-'F2'!D$8)+B285*('F2'!D$8-A284))/(A285-A284),"")</f>
        <v/>
      </c>
    </row>
    <row r="285" spans="1:4" x14ac:dyDescent="0.25">
      <c r="A285" s="71">
        <v>270</v>
      </c>
      <c r="B285" s="77">
        <v>456.8</v>
      </c>
      <c r="C285" s="17" t="str">
        <f>IF('F2'!D$8=A285,1,IF(('F2'!D$8-A285)*('F2'!D$8-A286)&lt;0,1,""))</f>
        <v/>
      </c>
      <c r="D285" s="68" t="str">
        <f>IF(C285=1,(B285*(A286-'F2'!D$8)+B286*('F2'!D$8-A285))/(A286-A285),"")</f>
        <v/>
      </c>
    </row>
    <row r="286" spans="1:4" x14ac:dyDescent="0.25">
      <c r="A286" s="71">
        <v>271</v>
      </c>
      <c r="B286" s="77">
        <v>454.4</v>
      </c>
      <c r="C286" s="17" t="str">
        <f>IF('F2'!D$8=A286,1,IF(('F2'!D$8-A286)*('F2'!D$8-A287)&lt;0,1,""))</f>
        <v/>
      </c>
      <c r="D286" s="68" t="str">
        <f>IF(C286=1,(B286*(A287-'F2'!D$8)+B287*('F2'!D$8-A286))/(A287-A286),"")</f>
        <v/>
      </c>
    </row>
    <row r="287" spans="1:4" x14ac:dyDescent="0.25">
      <c r="A287" s="71">
        <v>272</v>
      </c>
      <c r="B287" s="77">
        <v>451.7</v>
      </c>
      <c r="C287" s="17" t="str">
        <f>IF('F2'!D$8=A287,1,IF(('F2'!D$8-A287)*('F2'!D$8-A288)&lt;0,1,""))</f>
        <v/>
      </c>
      <c r="D287" s="68" t="str">
        <f>IF(C287=1,(B287*(A288-'F2'!D$8)+B288*('F2'!D$8-A287))/(A288-A287),"")</f>
        <v/>
      </c>
    </row>
    <row r="288" spans="1:4" x14ac:dyDescent="0.25">
      <c r="A288" s="71">
        <v>273</v>
      </c>
      <c r="B288" s="77">
        <v>448.4</v>
      </c>
      <c r="C288" s="17" t="str">
        <f>IF('F2'!D$8=A288,1,IF(('F2'!D$8-A288)*('F2'!D$8-A289)&lt;0,1,""))</f>
        <v/>
      </c>
      <c r="D288" s="68" t="str">
        <f>IF(C288=1,(B288*(A289-'F2'!D$8)+B289*('F2'!D$8-A288))/(A289-A288),"")</f>
        <v/>
      </c>
    </row>
    <row r="289" spans="1:5" x14ac:dyDescent="0.25">
      <c r="A289" s="71">
        <v>274</v>
      </c>
      <c r="B289" s="77">
        <v>444.5</v>
      </c>
      <c r="C289" s="17" t="str">
        <f>IF('F2'!D$8=A289,1,IF(('F2'!D$8-A289)*('F2'!D$8-A290)&lt;0,1,""))</f>
        <v/>
      </c>
      <c r="D289" s="68" t="str">
        <f>IF(C289=1,(B289*(A290-'F2'!D$8)+B290*('F2'!D$8-A289))/(A290-A289),"")</f>
        <v/>
      </c>
    </row>
    <row r="290" spans="1:5" x14ac:dyDescent="0.25">
      <c r="A290" s="71">
        <v>275</v>
      </c>
      <c r="B290" s="77">
        <v>439.2</v>
      </c>
      <c r="C290" s="17" t="str">
        <f>IF('F2'!D$8=A290,1,IF(('F2'!D$8-A290)*('F2'!D$8-A291)&lt;0,1,""))</f>
        <v/>
      </c>
      <c r="D290" s="68" t="str">
        <f>IF(C290=1,(B290*(A291-'F2'!D$8)+B291*('F2'!D$8-A290))/(A291-A290),"")</f>
        <v/>
      </c>
    </row>
    <row r="291" spans="1:5" x14ac:dyDescent="0.25">
      <c r="A291" s="71">
        <v>276</v>
      </c>
      <c r="B291" s="77">
        <v>431.7</v>
      </c>
      <c r="C291" s="17" t="str">
        <f>IF('F2'!D$8=A291,1,IF(('F2'!D$8-A291)*('F2'!D$8-A292)&lt;0,1,""))</f>
        <v/>
      </c>
      <c r="D291" s="68" t="str">
        <f>IF(C291=1,(B291*(A292-'F2'!D$8)+B292*('F2'!D$8-A291))/(A292-A291),"")</f>
        <v/>
      </c>
    </row>
    <row r="292" spans="1:5" x14ac:dyDescent="0.25">
      <c r="A292" s="71">
        <v>277</v>
      </c>
      <c r="B292" s="77">
        <v>416.4</v>
      </c>
      <c r="C292" s="17" t="str">
        <f>IF('F2'!D$8=A292,1,IF(('F2'!D$8-A292)*('F2'!D$8-A293)&lt;0,1,""))</f>
        <v/>
      </c>
      <c r="D292" s="17" t="str">
        <f>IF(C292=1,(B292*(A293-'F2'!D$8)+B293*('F2'!D$8-A292))/(A293-A292),"")</f>
        <v/>
      </c>
      <c r="E292" s="17" t="str">
        <f>IF(C292=1,1,"")</f>
        <v/>
      </c>
    </row>
    <row r="293" spans="1:5" x14ac:dyDescent="0.25">
      <c r="A293" s="71">
        <v>277.3</v>
      </c>
      <c r="B293" s="81">
        <v>400</v>
      </c>
      <c r="C293" s="17" t="str">
        <f>IF('F2'!D$8=A293,1,IF(('F2'!D$8-A293)*('F2'!D$8-A294)&lt;0,1,""))</f>
        <v/>
      </c>
      <c r="D293" s="17" t="str">
        <f>IF(C293=1,B293,"")</f>
        <v/>
      </c>
      <c r="E293" s="17" t="str">
        <f>IF(C293=1,3,"")</f>
        <v/>
      </c>
    </row>
    <row r="294" spans="1:5" x14ac:dyDescent="0.25">
      <c r="A294" s="71">
        <v>277.38</v>
      </c>
      <c r="B294" s="71">
        <v>390</v>
      </c>
      <c r="C294" s="17" t="str">
        <f>IF('F2'!D$8=A294,1,IF(('F2'!D$8-A294)*('F2'!D$8-A295)&lt;0,1,""))</f>
        <v/>
      </c>
      <c r="D294" s="17" t="str">
        <f>IF(C294=1,B294,"")</f>
        <v/>
      </c>
      <c r="E294" s="17" t="str">
        <f>IF(C294=1,6,"")</f>
        <v/>
      </c>
    </row>
    <row r="295" spans="1:5" x14ac:dyDescent="0.25">
      <c r="A295" s="71">
        <v>277.44</v>
      </c>
      <c r="B295" s="82">
        <v>380</v>
      </c>
      <c r="C295" s="17" t="str">
        <f>IF('F2'!D$8=A295,1,IF(('F2'!D$8-A295)*('F2'!D$8-A296)&lt;0,1,""))</f>
        <v/>
      </c>
      <c r="D295" s="17" t="str">
        <f>IF(C295=1,B295,"")</f>
        <v/>
      </c>
      <c r="E295" s="17" t="str">
        <f>IF(C295=1,4,"")</f>
        <v/>
      </c>
    </row>
    <row r="296" spans="1:5" x14ac:dyDescent="0.25">
      <c r="A296" s="71">
        <v>278</v>
      </c>
      <c r="B296" s="72">
        <v>-566.29999999999995</v>
      </c>
      <c r="C296" s="17" t="str">
        <f>IF('F2'!D$8=A296,1,IF(('F2'!D$8-A296)*('F2'!D$8-A297)&lt;0,1,""))</f>
        <v/>
      </c>
      <c r="D296" s="68" t="str">
        <f>IF(C296=1,(B296*(A297-'F2'!D$8)+B297*('F2'!D$8-A296))/(A297-A296),"")</f>
        <v/>
      </c>
    </row>
    <row r="297" spans="1:5" x14ac:dyDescent="0.25">
      <c r="A297" s="71">
        <v>279</v>
      </c>
      <c r="B297" s="72">
        <v>-565.9</v>
      </c>
      <c r="C297" s="17" t="str">
        <f>IF('F2'!D$8=A297,1,IF(('F2'!D$8-A297)*('F2'!D$8-A298)&lt;0,1,""))</f>
        <v/>
      </c>
      <c r="D297" s="68" t="str">
        <f>IF(C297=1,(B297*(A298-'F2'!D$8)+B298*('F2'!D$8-A297))/(A298-A297),"")</f>
        <v/>
      </c>
    </row>
    <row r="298" spans="1:5" x14ac:dyDescent="0.25">
      <c r="A298" s="71">
        <v>280</v>
      </c>
      <c r="B298" s="72">
        <v>-565.6</v>
      </c>
      <c r="C298" s="17" t="str">
        <f>IF('F2'!D$8=A298,1,IF(('F2'!D$8-A298)*('F2'!D$8-A299)&lt;0,1,""))</f>
        <v/>
      </c>
      <c r="D298" s="68" t="str">
        <f>IF(C298=1,(B298*(A299-'F2'!D$8)+B299*('F2'!D$8-A298))/(A299-A298),"")</f>
        <v/>
      </c>
    </row>
    <row r="299" spans="1:5" x14ac:dyDescent="0.25">
      <c r="A299" s="71">
        <v>281</v>
      </c>
      <c r="B299" s="72">
        <v>-565.20000000000005</v>
      </c>
      <c r="C299" s="17" t="str">
        <f>IF('F2'!D$8=A299,1,IF(('F2'!D$8-A299)*('F2'!D$8-A300)&lt;0,1,""))</f>
        <v/>
      </c>
      <c r="D299" s="68" t="str">
        <f>IF(C299=1,(B299*(A300-'F2'!D$8)+B300*('F2'!D$8-A299))/(A300-A299),"")</f>
        <v/>
      </c>
    </row>
    <row r="300" spans="1:5" x14ac:dyDescent="0.25">
      <c r="A300" s="71">
        <v>282</v>
      </c>
      <c r="B300" s="72">
        <v>-564.79999999999995</v>
      </c>
      <c r="C300" s="17" t="str">
        <f>IF('F2'!D$8=A300,1,IF(('F2'!D$8-A300)*('F2'!D$8-A301)&lt;0,1,""))</f>
        <v/>
      </c>
      <c r="D300" s="68" t="str">
        <f>IF(C300=1,(B300*(A301-'F2'!D$8)+B301*('F2'!D$8-A300))/(A301-A300),"")</f>
        <v/>
      </c>
    </row>
    <row r="301" spans="1:5" x14ac:dyDescent="0.25">
      <c r="A301" s="71">
        <v>283</v>
      </c>
      <c r="B301" s="72">
        <v>-564.4</v>
      </c>
      <c r="C301" s="17" t="str">
        <f>IF('F2'!D$8=A301,1,IF(('F2'!D$8-A301)*('F2'!D$8-A302)&lt;0,1,""))</f>
        <v/>
      </c>
      <c r="D301" s="68" t="str">
        <f>IF(C301=1,(B301*(A302-'F2'!D$8)+B302*('F2'!D$8-A301))/(A302-A301),"")</f>
        <v/>
      </c>
    </row>
    <row r="302" spans="1:5" x14ac:dyDescent="0.25">
      <c r="A302" s="71">
        <v>284</v>
      </c>
      <c r="B302" s="72">
        <v>-564</v>
      </c>
      <c r="C302" s="17" t="str">
        <f>IF('F2'!D$8=A302,1,IF(('F2'!D$8-A302)*('F2'!D$8-A303)&lt;0,1,""))</f>
        <v/>
      </c>
      <c r="D302" s="68" t="str">
        <f>IF(C302=1,(B302*(A303-'F2'!D$8)+B303*('F2'!D$8-A302))/(A303-A302),"")</f>
        <v/>
      </c>
    </row>
    <row r="303" spans="1:5" x14ac:dyDescent="0.25">
      <c r="A303" s="71">
        <v>285</v>
      </c>
      <c r="B303" s="72">
        <v>-563.5</v>
      </c>
      <c r="C303" s="17" t="str">
        <f>IF('F2'!D$8=A303,1,IF(('F2'!D$8-A303)*('F2'!D$8-A304)&lt;0,1,""))</f>
        <v/>
      </c>
      <c r="D303" s="68" t="str">
        <f>IF(C303=1,(B303*(A304-'F2'!D$8)+B304*('F2'!D$8-A303))/(A304-A303),"")</f>
        <v/>
      </c>
    </row>
    <row r="304" spans="1:5" x14ac:dyDescent="0.25">
      <c r="A304" s="71">
        <v>286</v>
      </c>
      <c r="B304" s="72">
        <v>-563.1</v>
      </c>
      <c r="C304" s="17" t="str">
        <f>IF('F2'!D$8=A304,1,IF(('F2'!D$8-A304)*('F2'!D$8-A305)&lt;0,1,""))</f>
        <v/>
      </c>
      <c r="D304" s="68" t="str">
        <f>IF(C304=1,(B304*(A305-'F2'!D$8)+B305*('F2'!D$8-A304))/(A305-A304),"")</f>
        <v/>
      </c>
    </row>
    <row r="305" spans="1:4" x14ac:dyDescent="0.25">
      <c r="A305" s="71">
        <v>287</v>
      </c>
      <c r="B305" s="72">
        <v>-562.6</v>
      </c>
      <c r="C305" s="17" t="str">
        <f>IF('F2'!D$8=A305,1,IF(('F2'!D$8-A305)*('F2'!D$8-A306)&lt;0,1,""))</f>
        <v/>
      </c>
      <c r="D305" s="68" t="str">
        <f>IF(C305=1,(B305*(A306-'F2'!D$8)+B306*('F2'!D$8-A305))/(A306-A305),"")</f>
        <v/>
      </c>
    </row>
    <row r="306" spans="1:4" x14ac:dyDescent="0.25">
      <c r="A306" s="71">
        <v>288</v>
      </c>
      <c r="B306" s="72">
        <v>-562.20000000000005</v>
      </c>
      <c r="C306" s="17" t="str">
        <f>IF('F2'!D$8=A306,1,IF(('F2'!D$8-A306)*('F2'!D$8-A307)&lt;0,1,""))</f>
        <v/>
      </c>
      <c r="D306" s="68" t="str">
        <f>IF(C306=1,(B306*(A307-'F2'!D$8)+B307*('F2'!D$8-A306))/(A307-A306),"")</f>
        <v/>
      </c>
    </row>
    <row r="307" spans="1:4" x14ac:dyDescent="0.25">
      <c r="A307" s="71">
        <v>289</v>
      </c>
      <c r="B307" s="72">
        <v>-561.70000000000005</v>
      </c>
      <c r="C307" s="17" t="str">
        <f>IF('F2'!D$8=A307,1,IF(('F2'!D$8-A307)*('F2'!D$8-A308)&lt;0,1,""))</f>
        <v/>
      </c>
      <c r="D307" s="68" t="str">
        <f>IF(C307=1,(B307*(A308-'F2'!D$8)+B308*('F2'!D$8-A307))/(A308-A307),"")</f>
        <v/>
      </c>
    </row>
    <row r="308" spans="1:4" x14ac:dyDescent="0.25">
      <c r="A308" s="71">
        <v>290</v>
      </c>
      <c r="B308" s="72">
        <v>-561.20000000000005</v>
      </c>
      <c r="C308" s="17" t="str">
        <f>IF('F2'!D$8=A308,1,IF(('F2'!D$8-A308)*('F2'!D$8-A309)&lt;0,1,""))</f>
        <v/>
      </c>
      <c r="D308" s="68" t="str">
        <f>IF(C308=1,(B308*(A309-'F2'!D$8)+B309*('F2'!D$8-A308))/(A309-A308),"")</f>
        <v/>
      </c>
    </row>
    <row r="309" spans="1:4" x14ac:dyDescent="0.25">
      <c r="A309" s="71">
        <v>291</v>
      </c>
      <c r="B309" s="72">
        <v>-560.70000000000005</v>
      </c>
      <c r="C309" s="17" t="str">
        <f>IF('F2'!D$8=A309,1,IF(('F2'!D$8-A309)*('F2'!D$8-A310)&lt;0,1,""))</f>
        <v/>
      </c>
      <c r="D309" s="68" t="str">
        <f>IF(C309=1,(B309*(A310-'F2'!D$8)+B310*('F2'!D$8-A309))/(A310-A309),"")</f>
        <v/>
      </c>
    </row>
    <row r="310" spans="1:4" x14ac:dyDescent="0.25">
      <c r="A310" s="71">
        <v>292</v>
      </c>
      <c r="B310" s="72">
        <v>-560.20000000000005</v>
      </c>
      <c r="C310" s="17" t="str">
        <f>IF('F2'!D$8=A310,1,IF(('F2'!D$8-A310)*('F2'!D$8-A311)&lt;0,1,""))</f>
        <v/>
      </c>
      <c r="D310" s="68" t="str">
        <f>IF(C310=1,(B310*(A311-'F2'!D$8)+B311*('F2'!D$8-A310))/(A311-A310),"")</f>
        <v/>
      </c>
    </row>
    <row r="311" spans="1:4" x14ac:dyDescent="0.25">
      <c r="A311" s="71">
        <v>293</v>
      </c>
      <c r="B311" s="72">
        <v>-559.70000000000005</v>
      </c>
      <c r="C311" s="17" t="str">
        <f>IF('F2'!D$8=A311,1,IF(('F2'!D$8-A311)*('F2'!D$8-A312)&lt;0,1,""))</f>
        <v/>
      </c>
      <c r="D311" s="68" t="str">
        <f>IF(C311=1,(B311*(A312-'F2'!D$8)+B312*('F2'!D$8-A311))/(A312-A311),"")</f>
        <v/>
      </c>
    </row>
    <row r="312" spans="1:4" x14ac:dyDescent="0.25">
      <c r="A312" s="71">
        <v>294</v>
      </c>
      <c r="B312" s="72">
        <v>-559.20000000000005</v>
      </c>
      <c r="C312" s="17" t="str">
        <f>IF('F2'!D$8=A312,1,IF(('F2'!D$8-A312)*('F2'!D$8-A313)&lt;0,1,""))</f>
        <v/>
      </c>
      <c r="D312" s="68" t="str">
        <f>IF(C312=1,(B312*(A313-'F2'!D$8)+B313*('F2'!D$8-A312))/(A313-A312),"")</f>
        <v/>
      </c>
    </row>
    <row r="313" spans="1:4" x14ac:dyDescent="0.25">
      <c r="A313" s="71">
        <v>295</v>
      </c>
      <c r="B313" s="72">
        <v>-558.6</v>
      </c>
      <c r="C313" s="17" t="str">
        <f>IF('F2'!D$8=A313,1,IF(('F2'!D$8-A313)*('F2'!D$8-A314)&lt;0,1,""))</f>
        <v/>
      </c>
      <c r="D313" s="68" t="str">
        <f>IF(C313=1,(B313*(A314-'F2'!D$8)+B314*('F2'!D$8-A313))/(A314-A313),"")</f>
        <v/>
      </c>
    </row>
    <row r="314" spans="1:4" x14ac:dyDescent="0.25">
      <c r="A314" s="71">
        <v>296</v>
      </c>
      <c r="B314" s="72">
        <v>-558</v>
      </c>
      <c r="C314" s="17" t="str">
        <f>IF('F2'!D$8=A314,1,IF(('F2'!D$8-A314)*('F2'!D$8-A315)&lt;0,1,""))</f>
        <v/>
      </c>
      <c r="D314" s="68" t="str">
        <f>IF(C314=1,(B314*(A315-'F2'!D$8)+B315*('F2'!D$8-A314))/(A315-A314),"")</f>
        <v/>
      </c>
    </row>
    <row r="315" spans="1:4" x14ac:dyDescent="0.25">
      <c r="A315" s="71">
        <v>297</v>
      </c>
      <c r="B315" s="72">
        <v>-557.4</v>
      </c>
      <c r="C315" s="17" t="str">
        <f>IF('F2'!D$8=A315,1,IF(('F2'!D$8-A315)*('F2'!D$8-A316)&lt;0,1,""))</f>
        <v/>
      </c>
      <c r="D315" s="68" t="str">
        <f>IF(C315=1,(B315*(A316-'F2'!D$8)+B316*('F2'!D$8-A315))/(A316-A315),"")</f>
        <v/>
      </c>
    </row>
    <row r="316" spans="1:4" x14ac:dyDescent="0.25">
      <c r="A316" s="71">
        <v>298</v>
      </c>
      <c r="B316" s="72">
        <v>-556.79999999999995</v>
      </c>
      <c r="C316" s="17" t="str">
        <f>IF('F2'!D$8=A316,1,IF(('F2'!D$8-A316)*('F2'!D$8-A317)&lt;0,1,""))</f>
        <v/>
      </c>
      <c r="D316" s="68" t="str">
        <f>IF(C316=1,(B316*(A317-'F2'!D$8)+B317*('F2'!D$8-A316))/(A317-A316),"")</f>
        <v/>
      </c>
    </row>
    <row r="317" spans="1:4" x14ac:dyDescent="0.25">
      <c r="A317" s="71">
        <v>299</v>
      </c>
      <c r="B317" s="72">
        <v>-556.1</v>
      </c>
      <c r="C317" s="17" t="str">
        <f>IF('F2'!D$8=A317,1,IF(('F2'!D$8-A317)*('F2'!D$8-A318)&lt;0,1,""))</f>
        <v/>
      </c>
      <c r="D317" s="68" t="str">
        <f>IF(C317=1,(B317*(A318-'F2'!D$8)+B318*('F2'!D$8-A317))/(A318-A317),"")</f>
        <v/>
      </c>
    </row>
    <row r="318" spans="1:4" x14ac:dyDescent="0.25">
      <c r="A318" s="71">
        <v>300</v>
      </c>
      <c r="B318" s="72">
        <v>-555.5</v>
      </c>
      <c r="C318" s="17" t="str">
        <f>IF('F2'!D$8=A318,1,IF(('F2'!D$8-A318)*('F2'!D$8-A319)&lt;0,1,""))</f>
        <v/>
      </c>
      <c r="D318" s="68" t="str">
        <f>IF(C318=1,(B318*(A319-'F2'!D$8)+B319*('F2'!D$8-A318))/(A319-A318),"")</f>
        <v/>
      </c>
    </row>
    <row r="319" spans="1:4" x14ac:dyDescent="0.25">
      <c r="A319" s="71">
        <v>301</v>
      </c>
      <c r="B319" s="72">
        <v>-554.79999999999995</v>
      </c>
      <c r="C319" s="17" t="str">
        <f>IF('F2'!D$8=A319,1,IF(('F2'!D$8-A319)*('F2'!D$8-A320)&lt;0,1,""))</f>
        <v/>
      </c>
      <c r="D319" s="68" t="str">
        <f>IF(C319=1,(B319*(A320-'F2'!D$8)+B320*('F2'!D$8-A319))/(A320-A319),"")</f>
        <v/>
      </c>
    </row>
    <row r="320" spans="1:4" x14ac:dyDescent="0.25">
      <c r="A320" s="71">
        <v>302</v>
      </c>
      <c r="B320" s="72">
        <v>-554</v>
      </c>
      <c r="C320" s="17" t="str">
        <f>IF('F2'!D$8=A320,1,IF(('F2'!D$8-A320)*('F2'!D$8-A321)&lt;0,1,""))</f>
        <v/>
      </c>
      <c r="D320" s="68" t="str">
        <f>IF(C320=1,(B320*(A321-'F2'!D$8)+B321*('F2'!D$8-A320))/(A321-A320),"")</f>
        <v/>
      </c>
    </row>
    <row r="321" spans="1:4" x14ac:dyDescent="0.25">
      <c r="A321" s="71">
        <v>303</v>
      </c>
      <c r="B321" s="72">
        <v>-553.29999999999995</v>
      </c>
      <c r="C321" s="17" t="str">
        <f>IF('F2'!D$8=A321,1,IF(('F2'!D$8-A321)*('F2'!D$8-A322)&lt;0,1,""))</f>
        <v/>
      </c>
      <c r="D321" s="68" t="str">
        <f>IF(C321=1,(B321*(A322-'F2'!D$8)+B322*('F2'!D$8-A321))/(A322-A321),"")</f>
        <v/>
      </c>
    </row>
    <row r="322" spans="1:4" x14ac:dyDescent="0.25">
      <c r="A322" s="71">
        <v>304</v>
      </c>
      <c r="B322" s="72">
        <v>-552.5</v>
      </c>
      <c r="C322" s="17" t="str">
        <f>IF('F2'!D$8=A322,1,IF(('F2'!D$8-A322)*('F2'!D$8-A323)&lt;0,1,""))</f>
        <v/>
      </c>
      <c r="D322" s="68" t="str">
        <f>IF(C322=1,(B322*(A323-'F2'!D$8)+B323*('F2'!D$8-A322))/(A323-A322),"")</f>
        <v/>
      </c>
    </row>
    <row r="323" spans="1:4" x14ac:dyDescent="0.25">
      <c r="A323" s="71">
        <v>305</v>
      </c>
      <c r="B323" s="72">
        <v>-551.6</v>
      </c>
      <c r="C323" s="17" t="str">
        <f>IF('F2'!D$8=A323,1,IF(('F2'!D$8-A323)*('F2'!D$8-A324)&lt;0,1,""))</f>
        <v/>
      </c>
      <c r="D323" s="68" t="str">
        <f>IF(C323=1,(B323*(A324-'F2'!D$8)+B324*('F2'!D$8-A323))/(A324-A323),"")</f>
        <v/>
      </c>
    </row>
    <row r="324" spans="1:4" x14ac:dyDescent="0.25">
      <c r="A324" s="71">
        <v>306</v>
      </c>
      <c r="B324" s="72">
        <v>-550.70000000000005</v>
      </c>
      <c r="C324" s="17" t="str">
        <f>IF('F2'!D$8=A324,1,IF(('F2'!D$8-A324)*('F2'!D$8-A325)&lt;0,1,""))</f>
        <v/>
      </c>
      <c r="D324" s="68" t="str">
        <f>IF(C324=1,(B324*(A325-'F2'!D$8)+B325*('F2'!D$8-A324))/(A325-A324),"")</f>
        <v/>
      </c>
    </row>
    <row r="325" spans="1:4" x14ac:dyDescent="0.25">
      <c r="A325" s="71">
        <v>307</v>
      </c>
      <c r="B325" s="72">
        <v>-549.79999999999995</v>
      </c>
      <c r="C325" s="17" t="str">
        <f>IF('F2'!D$8=A325,1,IF(('F2'!D$8-A325)*('F2'!D$8-A326)&lt;0,1,""))</f>
        <v/>
      </c>
      <c r="D325" s="68" t="str">
        <f>IF(C325=1,(B325*(A326-'F2'!D$8)+B326*('F2'!D$8-A325))/(A326-A325),"")</f>
        <v/>
      </c>
    </row>
    <row r="326" spans="1:4" x14ac:dyDescent="0.25">
      <c r="A326" s="71">
        <v>308</v>
      </c>
      <c r="B326" s="72">
        <v>-548.9</v>
      </c>
      <c r="C326" s="17" t="str">
        <f>IF('F2'!D$8=A326,1,IF(('F2'!D$8-A326)*('F2'!D$8-A327)&lt;0,1,""))</f>
        <v/>
      </c>
      <c r="D326" s="68" t="str">
        <f>IF(C326=1,(B326*(A327-'F2'!D$8)+B327*('F2'!D$8-A326))/(A327-A326),"")</f>
        <v/>
      </c>
    </row>
    <row r="327" spans="1:4" x14ac:dyDescent="0.25">
      <c r="A327" s="71">
        <v>309</v>
      </c>
      <c r="B327" s="72">
        <v>-547.79999999999995</v>
      </c>
      <c r="C327" s="17" t="str">
        <f>IF('F2'!D$8=A327,1,IF(('F2'!D$8-A327)*('F2'!D$8-A328)&lt;0,1,""))</f>
        <v/>
      </c>
      <c r="D327" s="68" t="str">
        <f>IF(C327=1,(B327*(A328-'F2'!D$8)+B328*('F2'!D$8-A327))/(A328-A327),"")</f>
        <v/>
      </c>
    </row>
    <row r="328" spans="1:4" x14ac:dyDescent="0.25">
      <c r="A328" s="71">
        <v>310</v>
      </c>
      <c r="B328" s="72">
        <v>-546.79999999999995</v>
      </c>
      <c r="C328" s="17" t="str">
        <f>IF('F2'!D$8=A328,1,IF(('F2'!D$8-A328)*('F2'!D$8-A329)&lt;0,1,""))</f>
        <v/>
      </c>
      <c r="D328" s="68" t="str">
        <f>IF(C328=1,(B328*(A329-'F2'!D$8)+B329*('F2'!D$8-A328))/(A329-A328),"")</f>
        <v/>
      </c>
    </row>
    <row r="329" spans="1:4" x14ac:dyDescent="0.25">
      <c r="A329" s="71">
        <v>311</v>
      </c>
      <c r="B329" s="72">
        <v>-545.6</v>
      </c>
      <c r="C329" s="17" t="str">
        <f>IF('F2'!D$8=A329,1,IF(('F2'!D$8-A329)*('F2'!D$8-A330)&lt;0,1,""))</f>
        <v/>
      </c>
      <c r="D329" s="68" t="str">
        <f>IF(C329=1,(B329*(A330-'F2'!D$8)+B330*('F2'!D$8-A329))/(A330-A329),"")</f>
        <v/>
      </c>
    </row>
    <row r="330" spans="1:4" x14ac:dyDescent="0.25">
      <c r="A330" s="71">
        <v>312</v>
      </c>
      <c r="B330" s="72">
        <v>-544.4</v>
      </c>
      <c r="C330" s="17" t="str">
        <f>IF('F2'!D$8=A330,1,IF(('F2'!D$8-A330)*('F2'!D$8-A331)&lt;0,1,""))</f>
        <v/>
      </c>
      <c r="D330" s="68" t="str">
        <f>IF(C330=1,(B330*(A331-'F2'!D$8)+B331*('F2'!D$8-A330))/(A331-A330),"")</f>
        <v/>
      </c>
    </row>
    <row r="331" spans="1:4" x14ac:dyDescent="0.25">
      <c r="A331" s="71">
        <v>313</v>
      </c>
      <c r="B331" s="72">
        <v>-543.20000000000005</v>
      </c>
      <c r="C331" s="17" t="str">
        <f>IF('F2'!D$8=A331,1,IF(('F2'!D$8-A331)*('F2'!D$8-A332)&lt;0,1,""))</f>
        <v/>
      </c>
      <c r="D331" s="68" t="str">
        <f>IF(C331=1,(B331*(A332-'F2'!D$8)+B332*('F2'!D$8-A331))/(A332-A331),"")</f>
        <v/>
      </c>
    </row>
    <row r="332" spans="1:4" x14ac:dyDescent="0.25">
      <c r="A332" s="71">
        <v>314</v>
      </c>
      <c r="B332" s="72">
        <v>-541.9</v>
      </c>
      <c r="C332" s="17" t="str">
        <f>IF('F2'!D$8=A332,1,IF(('F2'!D$8-A332)*('F2'!D$8-A333)&lt;0,1,""))</f>
        <v/>
      </c>
      <c r="D332" s="68" t="str">
        <f>IF(C332=1,(B332*(A333-'F2'!D$8)+B333*('F2'!D$8-A332))/(A333-A332),"")</f>
        <v/>
      </c>
    </row>
    <row r="333" spans="1:4" x14ac:dyDescent="0.25">
      <c r="A333" s="71">
        <v>315</v>
      </c>
      <c r="B333" s="72">
        <v>-540.5</v>
      </c>
      <c r="C333" s="17" t="str">
        <f>IF('F2'!D$8=A333,1,IF(('F2'!D$8-A333)*('F2'!D$8-A334)&lt;0,1,""))</f>
        <v/>
      </c>
      <c r="D333" s="68" t="str">
        <f>IF(C333=1,(B333*(A334-'F2'!D$8)+B334*('F2'!D$8-A333))/(A334-A333),"")</f>
        <v/>
      </c>
    </row>
    <row r="334" spans="1:4" x14ac:dyDescent="0.25">
      <c r="A334" s="71">
        <v>316</v>
      </c>
      <c r="B334" s="72">
        <v>-539</v>
      </c>
      <c r="C334" s="17" t="str">
        <f>IF('F2'!D$8=A334,1,IF(('F2'!D$8-A334)*('F2'!D$8-A335)&lt;0,1,""))</f>
        <v/>
      </c>
      <c r="D334" s="68" t="str">
        <f>IF(C334=1,(B334*(A335-'F2'!D$8)+B335*('F2'!D$8-A334))/(A335-A334),"")</f>
        <v/>
      </c>
    </row>
    <row r="335" spans="1:4" x14ac:dyDescent="0.25">
      <c r="A335" s="71">
        <v>317</v>
      </c>
      <c r="B335" s="72">
        <v>-537.4</v>
      </c>
      <c r="C335" s="17" t="str">
        <f>IF('F2'!D$8=A335,1,IF(('F2'!D$8-A335)*('F2'!D$8-A336)&lt;0,1,""))</f>
        <v/>
      </c>
      <c r="D335" s="68" t="str">
        <f>IF(C335=1,(B335*(A336-'F2'!D$8)+B336*('F2'!D$8-A335))/(A336-A335),"")</f>
        <v/>
      </c>
    </row>
    <row r="336" spans="1:4" x14ac:dyDescent="0.25">
      <c r="A336" s="71">
        <v>318</v>
      </c>
      <c r="B336" s="72">
        <v>-535.79999999999995</v>
      </c>
      <c r="C336" s="17" t="str">
        <f>IF('F2'!D$8=A336,1,IF(('F2'!D$8-A336)*('F2'!D$8-A337)&lt;0,1,""))</f>
        <v/>
      </c>
      <c r="D336" s="68" t="str">
        <f>IF(C336=1,(B336*(A337-'F2'!D$8)+B337*('F2'!D$8-A336))/(A337-A336),"")</f>
        <v/>
      </c>
    </row>
    <row r="337" spans="1:4" x14ac:dyDescent="0.25">
      <c r="A337" s="71">
        <v>319</v>
      </c>
      <c r="B337" s="72">
        <v>-534.1</v>
      </c>
      <c r="C337" s="17" t="str">
        <f>IF('F2'!D$8=A337,1,IF(('F2'!D$8-A337)*('F2'!D$8-A338)&lt;0,1,""))</f>
        <v/>
      </c>
      <c r="D337" s="68" t="str">
        <f>IF(C337=1,(B337*(A338-'F2'!D$8)+B338*('F2'!D$8-A337))/(A338-A337),"")</f>
        <v/>
      </c>
    </row>
    <row r="338" spans="1:4" x14ac:dyDescent="0.25">
      <c r="A338" s="71">
        <v>320</v>
      </c>
      <c r="B338" s="72">
        <v>-532.4</v>
      </c>
      <c r="C338" s="17" t="str">
        <f>IF('F2'!D$8=A338,1,IF(('F2'!D$8-A338)*('F2'!D$8-A339)&lt;0,1,""))</f>
        <v/>
      </c>
      <c r="D338" s="68" t="str">
        <f>IF(C338=1,(B338*(A339-'F2'!D$8)+B339*('F2'!D$8-A338))/(A339-A338),"")</f>
        <v/>
      </c>
    </row>
    <row r="339" spans="1:4" x14ac:dyDescent="0.25">
      <c r="A339" s="71">
        <v>321</v>
      </c>
      <c r="B339" s="72">
        <v>-530.5</v>
      </c>
      <c r="C339" s="17" t="str">
        <f>IF('F2'!D$8=A339,1,IF(('F2'!D$8-A339)*('F2'!D$8-A340)&lt;0,1,""))</f>
        <v/>
      </c>
      <c r="D339" s="68" t="str">
        <f>IF(C339=1,(B339*(A340-'F2'!D$8)+B340*('F2'!D$8-A339))/(A340-A339),"")</f>
        <v/>
      </c>
    </row>
    <row r="340" spans="1:4" x14ac:dyDescent="0.25">
      <c r="A340" s="71">
        <v>322</v>
      </c>
      <c r="B340" s="72">
        <v>-528.70000000000005</v>
      </c>
      <c r="C340" s="17" t="str">
        <f>IF('F2'!D$8=A340,1,IF(('F2'!D$8-A340)*('F2'!D$8-A341)&lt;0,1,""))</f>
        <v/>
      </c>
      <c r="D340" s="68" t="str">
        <f>IF(C340=1,(B340*(A341-'F2'!D$8)+B341*('F2'!D$8-A340))/(A341-A340),"")</f>
        <v/>
      </c>
    </row>
    <row r="341" spans="1:4" x14ac:dyDescent="0.25">
      <c r="A341" s="71">
        <v>323</v>
      </c>
      <c r="B341" s="72">
        <v>-526.79999999999995</v>
      </c>
      <c r="C341" s="17" t="str">
        <f>IF('F2'!D$8=A341,1,IF(('F2'!D$8-A341)*('F2'!D$8-A342)&lt;0,1,""))</f>
        <v/>
      </c>
      <c r="D341" s="68" t="str">
        <f>IF(C341=1,(B341*(A342-'F2'!D$8)+B342*('F2'!D$8-A341))/(A342-A341),"")</f>
        <v/>
      </c>
    </row>
    <row r="342" spans="1:4" x14ac:dyDescent="0.25">
      <c r="A342" s="71">
        <v>324</v>
      </c>
      <c r="B342" s="72">
        <v>-524.9</v>
      </c>
      <c r="C342" s="17" t="str">
        <f>IF('F2'!D$8=A342,1,IF(('F2'!D$8-A342)*('F2'!D$8-A343)&lt;0,1,""))</f>
        <v/>
      </c>
      <c r="D342" s="68" t="str">
        <f>IF(C342=1,(B342*(A343-'F2'!D$8)+B343*('F2'!D$8-A342))/(A343-A342),"")</f>
        <v/>
      </c>
    </row>
    <row r="343" spans="1:4" x14ac:dyDescent="0.25">
      <c r="A343" s="71">
        <v>325</v>
      </c>
      <c r="B343" s="72">
        <v>-523</v>
      </c>
      <c r="C343" s="17" t="str">
        <f>IF('F2'!D$8=A343,1,IF(('F2'!D$8-A343)*('F2'!D$8-A344)&lt;0,1,""))</f>
        <v/>
      </c>
      <c r="D343" s="68" t="str">
        <f>IF(C343=1,(B343*(A344-'F2'!D$8)+B344*('F2'!D$8-A343))/(A344-A343),"")</f>
        <v/>
      </c>
    </row>
    <row r="344" spans="1:4" x14ac:dyDescent="0.25">
      <c r="A344" s="71">
        <v>326</v>
      </c>
      <c r="B344" s="72">
        <v>-521.1</v>
      </c>
      <c r="C344" s="17" t="str">
        <f>IF('F2'!D$8=A344,1,IF(('F2'!D$8-A344)*('F2'!D$8-A345)&lt;0,1,""))</f>
        <v/>
      </c>
      <c r="D344" s="68" t="str">
        <f>IF(C344=1,(B344*(A345-'F2'!D$8)+B345*('F2'!D$8-A344))/(A345-A344),"")</f>
        <v/>
      </c>
    </row>
    <row r="345" spans="1:4" x14ac:dyDescent="0.25">
      <c r="A345" s="71">
        <v>327</v>
      </c>
      <c r="B345" s="72">
        <v>-519.20000000000005</v>
      </c>
      <c r="C345" s="17" t="str">
        <f>IF('F2'!D$8=A345,1,IF(('F2'!D$8-A345)*('F2'!D$8-A346)&lt;0,1,""))</f>
        <v/>
      </c>
      <c r="D345" s="68" t="str">
        <f>IF(C345=1,(B345*(A346-'F2'!D$8)+B346*('F2'!D$8-A345))/(A346-A345),"")</f>
        <v/>
      </c>
    </row>
    <row r="346" spans="1:4" x14ac:dyDescent="0.25">
      <c r="A346" s="71">
        <v>328</v>
      </c>
      <c r="B346" s="72">
        <v>-517.5</v>
      </c>
      <c r="C346" s="17" t="str">
        <f>IF('F2'!D$8=A346,1,IF(('F2'!D$8-A346)*('F2'!D$8-A347)&lt;0,1,""))</f>
        <v/>
      </c>
      <c r="D346" s="68" t="str">
        <f>IF(C346=1,(B346*(A347-'F2'!D$8)+B347*('F2'!D$8-A346))/(A347-A346),"")</f>
        <v/>
      </c>
    </row>
    <row r="347" spans="1:4" x14ac:dyDescent="0.25">
      <c r="A347" s="71">
        <v>329</v>
      </c>
      <c r="B347" s="72">
        <v>-516</v>
      </c>
      <c r="C347" s="17" t="str">
        <f>IF('F2'!D$8=A347,1,IF(('F2'!D$8-A347)*('F2'!D$8-A348)&lt;0,1,""))</f>
        <v/>
      </c>
      <c r="D347" s="68" t="str">
        <f>IF(C347=1,(B347*(A348-'F2'!D$8)+B348*('F2'!D$8-A347))/(A348-A347),"")</f>
        <v/>
      </c>
    </row>
    <row r="348" spans="1:4" x14ac:dyDescent="0.25">
      <c r="A348" s="71">
        <v>330</v>
      </c>
      <c r="B348" s="72">
        <v>-514.5</v>
      </c>
      <c r="C348" s="17" t="str">
        <f>IF('F2'!D$8=A348,1,IF(('F2'!D$8-A348)*('F2'!D$8-A349)&lt;0,1,""))</f>
        <v/>
      </c>
      <c r="D348" s="68" t="str">
        <f>IF(C348=1,(B348*(A349-'F2'!D$8)+B349*('F2'!D$8-A348))/(A349-A348),"")</f>
        <v/>
      </c>
    </row>
    <row r="349" spans="1:4" x14ac:dyDescent="0.25">
      <c r="A349" s="71">
        <v>331</v>
      </c>
      <c r="B349" s="72">
        <v>-513.20000000000005</v>
      </c>
      <c r="C349" s="17" t="str">
        <f>IF('F2'!D$8=A349,1,IF(('F2'!D$8-A349)*('F2'!D$8-A350)&lt;0,1,""))</f>
        <v/>
      </c>
      <c r="D349" s="68" t="str">
        <f>IF(C349=1,(B349*(A350-'F2'!D$8)+B350*('F2'!D$8-A349))/(A350-A349),"")</f>
        <v/>
      </c>
    </row>
    <row r="350" spans="1:4" x14ac:dyDescent="0.25">
      <c r="A350" s="71">
        <v>332</v>
      </c>
      <c r="B350" s="72">
        <v>-511.9</v>
      </c>
      <c r="C350" s="17" t="str">
        <f>IF('F2'!D$8=A350,1,IF(('F2'!D$8-A350)*('F2'!D$8-A351)&lt;0,1,""))</f>
        <v/>
      </c>
      <c r="D350" s="68" t="str">
        <f>IF(C350=1,(B350*(A351-'F2'!D$8)+B351*('F2'!D$8-A350))/(A351-A350),"")</f>
        <v/>
      </c>
    </row>
    <row r="351" spans="1:4" x14ac:dyDescent="0.25">
      <c r="A351" s="71">
        <v>333</v>
      </c>
      <c r="B351" s="72">
        <v>-510.8</v>
      </c>
      <c r="C351" s="17" t="str">
        <f>IF('F2'!D$8=A351,1,IF(('F2'!D$8-A351)*('F2'!D$8-A352)&lt;0,1,""))</f>
        <v/>
      </c>
      <c r="D351" s="68" t="str">
        <f>IF(C351=1,(B351*(A352-'F2'!D$8)+B352*('F2'!D$8-A351))/(A352-A351),"")</f>
        <v/>
      </c>
    </row>
    <row r="352" spans="1:4" x14ac:dyDescent="0.25">
      <c r="A352" s="71">
        <v>334</v>
      </c>
      <c r="B352" s="72">
        <v>-509.7</v>
      </c>
      <c r="C352" s="17" t="str">
        <f>IF('F2'!D$8=A352,1,IF(('F2'!D$8-A352)*('F2'!D$8-A353)&lt;0,1,""))</f>
        <v/>
      </c>
      <c r="D352" s="68" t="str">
        <f>IF(C352=1,(B352*(A353-'F2'!D$8)+B353*('F2'!D$8-A352))/(A353-A352),"")</f>
        <v/>
      </c>
    </row>
    <row r="353" spans="1:4" x14ac:dyDescent="0.25">
      <c r="A353" s="71">
        <v>335</v>
      </c>
      <c r="B353" s="72">
        <v>-508.7</v>
      </c>
      <c r="C353" s="17" t="str">
        <f>IF('F2'!D$8=A353,1,IF(('F2'!D$8-A353)*('F2'!D$8-A354)&lt;0,1,""))</f>
        <v/>
      </c>
      <c r="D353" s="68" t="str">
        <f>IF(C353=1,(B353*(A354-'F2'!D$8)+B354*('F2'!D$8-A353))/(A354-A353),"")</f>
        <v/>
      </c>
    </row>
    <row r="354" spans="1:4" x14ac:dyDescent="0.25">
      <c r="A354" s="71">
        <v>336</v>
      </c>
      <c r="B354" s="72">
        <v>-507.7</v>
      </c>
      <c r="C354" s="17" t="str">
        <f>IF('F2'!D$8=A354,1,IF(('F2'!D$8-A354)*('F2'!D$8-A355)&lt;0,1,""))</f>
        <v/>
      </c>
      <c r="D354" s="68" t="str">
        <f>IF(C354=1,(B354*(A355-'F2'!D$8)+B355*('F2'!D$8-A354))/(A355-A354),"")</f>
        <v/>
      </c>
    </row>
    <row r="355" spans="1:4" x14ac:dyDescent="0.25">
      <c r="A355" s="71">
        <v>337</v>
      </c>
      <c r="B355" s="72">
        <v>-506.8</v>
      </c>
      <c r="C355" s="17" t="str">
        <f>IF('F2'!D$8=A355,1,IF(('F2'!D$8-A355)*('F2'!D$8-A356)&lt;0,1,""))</f>
        <v/>
      </c>
      <c r="D355" s="68" t="str">
        <f>IF(C355=1,(B355*(A356-'F2'!D$8)+B356*('F2'!D$8-A355))/(A356-A355),"")</f>
        <v/>
      </c>
    </row>
    <row r="356" spans="1:4" x14ac:dyDescent="0.25">
      <c r="A356" s="71">
        <v>338</v>
      </c>
      <c r="B356" s="72">
        <v>-505.9</v>
      </c>
      <c r="C356" s="17" t="str">
        <f>IF('F2'!D$8=A356,1,IF(('F2'!D$8-A356)*('F2'!D$8-A357)&lt;0,1,""))</f>
        <v/>
      </c>
      <c r="D356" s="68" t="str">
        <f>IF(C356=1,(B356*(A357-'F2'!D$8)+B357*('F2'!D$8-A356))/(A357-A356),"")</f>
        <v/>
      </c>
    </row>
    <row r="357" spans="1:4" x14ac:dyDescent="0.25">
      <c r="A357" s="71">
        <v>339</v>
      </c>
      <c r="B357" s="72">
        <v>-505.1</v>
      </c>
      <c r="C357" s="17" t="str">
        <f>IF('F2'!D$8=A357,1,IF(('F2'!D$8-A357)*('F2'!D$8-A358)&lt;0,1,""))</f>
        <v/>
      </c>
      <c r="D357" s="68" t="str">
        <f>IF(C357=1,(B357*(A358-'F2'!D$8)+B358*('F2'!D$8-A357))/(A358-A357),"")</f>
        <v/>
      </c>
    </row>
    <row r="358" spans="1:4" x14ac:dyDescent="0.25">
      <c r="A358" s="71">
        <v>340</v>
      </c>
      <c r="B358" s="72">
        <v>-504.4</v>
      </c>
      <c r="C358" s="17" t="str">
        <f>IF('F2'!D$8=A358,1,IF(('F2'!D$8-A358)*('F2'!D$8-A359)&lt;0,1,""))</f>
        <v/>
      </c>
      <c r="D358" s="68" t="str">
        <f>IF(C358=1,(B358*(A359-'F2'!D$8)+B359*('F2'!D$8-A358))/(A359-A358),"")</f>
        <v/>
      </c>
    </row>
    <row r="359" spans="1:4" x14ac:dyDescent="0.25">
      <c r="A359" s="71">
        <v>341</v>
      </c>
      <c r="B359" s="72">
        <v>-503.6</v>
      </c>
      <c r="C359" s="17" t="str">
        <f>IF('F2'!D$8=A359,1,IF(('F2'!D$8-A359)*('F2'!D$8-A360)&lt;0,1,""))</f>
        <v/>
      </c>
      <c r="D359" s="68" t="str">
        <f>IF(C359=1,(B359*(A360-'F2'!D$8)+B360*('F2'!D$8-A359))/(A360-A359),"")</f>
        <v/>
      </c>
    </row>
    <row r="360" spans="1:4" x14ac:dyDescent="0.25">
      <c r="A360" s="71">
        <v>342</v>
      </c>
      <c r="B360" s="72">
        <v>-502.9</v>
      </c>
      <c r="C360" s="17" t="str">
        <f>IF('F2'!D$8=A360,1,IF(('F2'!D$8-A360)*('F2'!D$8-A361)&lt;0,1,""))</f>
        <v/>
      </c>
      <c r="D360" s="68" t="str">
        <f>IF(C360=1,(B360*(A361-'F2'!D$8)+B361*('F2'!D$8-A360))/(A361-A360),"")</f>
        <v/>
      </c>
    </row>
    <row r="361" spans="1:4" x14ac:dyDescent="0.25">
      <c r="A361" s="71">
        <v>343</v>
      </c>
      <c r="B361" s="72">
        <v>-502.3</v>
      </c>
      <c r="C361" s="17" t="str">
        <f>IF('F2'!D$8=A361,1,IF(('F2'!D$8-A361)*('F2'!D$8-A362)&lt;0,1,""))</f>
        <v/>
      </c>
      <c r="D361" s="68" t="str">
        <f>IF(C361=1,(B361*(A362-'F2'!D$8)+B362*('F2'!D$8-A361))/(A362-A361),"")</f>
        <v/>
      </c>
    </row>
    <row r="362" spans="1:4" x14ac:dyDescent="0.25">
      <c r="A362" s="71">
        <v>344</v>
      </c>
      <c r="B362" s="72">
        <v>-501.7</v>
      </c>
      <c r="C362" s="17" t="str">
        <f>IF('F2'!D$8=A362,1,IF(('F2'!D$8-A362)*('F2'!D$8-A363)&lt;0,1,""))</f>
        <v/>
      </c>
      <c r="D362" s="68" t="str">
        <f>IF(C362=1,(B362*(A363-'F2'!D$8)+B363*('F2'!D$8-A362))/(A363-A362),"")</f>
        <v/>
      </c>
    </row>
    <row r="363" spans="1:4" x14ac:dyDescent="0.25">
      <c r="A363" s="71">
        <v>345</v>
      </c>
      <c r="B363" s="72">
        <v>-501.1</v>
      </c>
      <c r="C363" s="17" t="str">
        <f>IF('F2'!D$8=A363,1,IF(('F2'!D$8-A363)*('F2'!D$8-A364)&lt;0,1,""))</f>
        <v/>
      </c>
      <c r="D363" s="68" t="str">
        <f>IF(C363=1,(B363*(A364-'F2'!D$8)+B364*('F2'!D$8-A363))/(A364-A363),"")</f>
        <v/>
      </c>
    </row>
    <row r="364" spans="1:4" x14ac:dyDescent="0.25">
      <c r="A364" s="71">
        <v>346</v>
      </c>
      <c r="B364" s="72">
        <v>-500.6</v>
      </c>
      <c r="C364" s="17" t="str">
        <f>IF('F2'!D$8=A364,1,IF(('F2'!D$8-A364)*('F2'!D$8-A365)&lt;0,1,""))</f>
        <v/>
      </c>
      <c r="D364" s="68" t="str">
        <f>IF(C364=1,(B364*(A365-'F2'!D$8)+B365*('F2'!D$8-A364))/(A365-A364),"")</f>
        <v/>
      </c>
    </row>
    <row r="365" spans="1:4" x14ac:dyDescent="0.25">
      <c r="A365" s="71">
        <v>347</v>
      </c>
      <c r="B365" s="72">
        <v>-500</v>
      </c>
      <c r="C365" s="17" t="str">
        <f>IF('F2'!D$8=A365,1,IF(('F2'!D$8-A365)*('F2'!D$8-A366)&lt;0,1,""))</f>
        <v/>
      </c>
      <c r="D365" s="68" t="str">
        <f>IF(C365=1,(B365*(A366-'F2'!D$8)+B366*('F2'!D$8-A365))/(A366-A365),"")</f>
        <v/>
      </c>
    </row>
    <row r="366" spans="1:4" x14ac:dyDescent="0.25">
      <c r="A366" s="71">
        <v>348</v>
      </c>
      <c r="B366" s="72">
        <v>-499.5</v>
      </c>
      <c r="C366" s="17" t="str">
        <f>IF('F2'!D$8=A366,1,IF(('F2'!D$8-A366)*('F2'!D$8-A367)&lt;0,1,""))</f>
        <v/>
      </c>
      <c r="D366" s="68" t="str">
        <f>IF(C366=1,(B366*(A367-'F2'!D$8)+B367*('F2'!D$8-A366))/(A367-A366),"")</f>
        <v/>
      </c>
    </row>
    <row r="367" spans="1:4" x14ac:dyDescent="0.25">
      <c r="A367" s="71">
        <v>349</v>
      </c>
      <c r="B367" s="72">
        <v>-499</v>
      </c>
      <c r="C367" s="17" t="str">
        <f>IF('F2'!D$8=A367,1,IF(('F2'!D$8-A367)*('F2'!D$8-A368)&lt;0,1,""))</f>
        <v/>
      </c>
      <c r="D367" s="68" t="str">
        <f>IF(C367=1,(B367*(A368-'F2'!D$8)+B368*('F2'!D$8-A367))/(A368-A367),"")</f>
        <v/>
      </c>
    </row>
    <row r="368" spans="1:4" x14ac:dyDescent="0.25">
      <c r="A368" s="71">
        <v>350</v>
      </c>
      <c r="B368" s="72">
        <v>-498.6</v>
      </c>
      <c r="C368" s="17" t="str">
        <f>IF('F2'!D$8=A368,1,IF(('F2'!D$8-A368)*('F2'!D$8-A369)&lt;0,1,""))</f>
        <v/>
      </c>
      <c r="D368" s="68" t="str">
        <f>IF(C368=1,(B368*(A369-'F2'!D$8)+B369*('F2'!D$8-A368))/(A369-A368),"")</f>
        <v/>
      </c>
    </row>
    <row r="369" spans="1:4" x14ac:dyDescent="0.25">
      <c r="A369" s="71">
        <v>351</v>
      </c>
      <c r="B369" s="72">
        <v>-498.2</v>
      </c>
      <c r="C369" s="17" t="str">
        <f>IF('F2'!D$8=A369,1,IF(('F2'!D$8-A369)*('F2'!D$8-A370)&lt;0,1,""))</f>
        <v/>
      </c>
      <c r="D369" s="68" t="str">
        <f>IF(C369=1,(B369*(A370-'F2'!D$8)+B370*('F2'!D$8-A369))/(A370-A369),"")</f>
        <v/>
      </c>
    </row>
    <row r="370" spans="1:4" x14ac:dyDescent="0.25">
      <c r="A370" s="71">
        <v>352</v>
      </c>
      <c r="B370" s="72">
        <v>-497.7</v>
      </c>
      <c r="C370" s="17" t="str">
        <f>IF('F2'!D$8=A370,1,IF(('F2'!D$8-A370)*('F2'!D$8-A371)&lt;0,1,""))</f>
        <v/>
      </c>
      <c r="D370" s="68" t="str">
        <f>IF(C370=1,(B370*(A371-'F2'!D$8)+B371*('F2'!D$8-A370))/(A371-A370),"")</f>
        <v/>
      </c>
    </row>
    <row r="371" spans="1:4" x14ac:dyDescent="0.25">
      <c r="A371" s="71">
        <v>353</v>
      </c>
      <c r="B371" s="72">
        <v>-497.3</v>
      </c>
      <c r="C371" s="17" t="str">
        <f>IF('F2'!D$8=A371,1,IF(('F2'!D$8-A371)*('F2'!D$8-A372)&lt;0,1,""))</f>
        <v/>
      </c>
      <c r="D371" s="68" t="str">
        <f>IF(C371=1,(B371*(A372-'F2'!D$8)+B372*('F2'!D$8-A371))/(A372-A371),"")</f>
        <v/>
      </c>
    </row>
    <row r="372" spans="1:4" x14ac:dyDescent="0.25">
      <c r="A372" s="71">
        <v>354</v>
      </c>
      <c r="B372" s="72">
        <v>-496.9</v>
      </c>
      <c r="C372" s="17" t="str">
        <f>IF('F2'!D$8=A372,1,IF(('F2'!D$8-A372)*('F2'!D$8-A373)&lt;0,1,""))</f>
        <v/>
      </c>
      <c r="D372" s="68" t="str">
        <f>IF(C372=1,(B372*(A373-'F2'!D$8)+B373*('F2'!D$8-A372))/(A373-A372),"")</f>
        <v/>
      </c>
    </row>
    <row r="373" spans="1:4" x14ac:dyDescent="0.25">
      <c r="A373" s="71">
        <v>355</v>
      </c>
      <c r="B373" s="72">
        <v>-496.6</v>
      </c>
      <c r="C373" s="17" t="str">
        <f>IF('F2'!D$8=A373,1,IF(('F2'!D$8-A373)*('F2'!D$8-A374)&lt;0,1,""))</f>
        <v/>
      </c>
      <c r="D373" s="68" t="str">
        <f>IF(C373=1,(B373*(A374-'F2'!D$8)+B374*('F2'!D$8-A373))/(A374-A373),"")</f>
        <v/>
      </c>
    </row>
    <row r="374" spans="1:4" x14ac:dyDescent="0.25">
      <c r="A374" s="71">
        <v>356</v>
      </c>
      <c r="B374" s="72">
        <v>-496.2</v>
      </c>
      <c r="C374" s="17" t="str">
        <f>IF('F2'!D$8=A374,1,IF(('F2'!D$8-A374)*('F2'!D$8-A375)&lt;0,1,""))</f>
        <v/>
      </c>
      <c r="D374" s="68" t="str">
        <f>IF(C374=1,(B374*(A375-'F2'!D$8)+B375*('F2'!D$8-A374))/(A375-A374),"")</f>
        <v/>
      </c>
    </row>
    <row r="375" spans="1:4" x14ac:dyDescent="0.25">
      <c r="A375" s="71">
        <v>357</v>
      </c>
      <c r="B375" s="72">
        <v>-495.9</v>
      </c>
      <c r="C375" s="17" t="str">
        <f>IF('F2'!D$8=A375,1,IF(('F2'!D$8-A375)*('F2'!D$8-A376)&lt;0,1,""))</f>
        <v/>
      </c>
      <c r="D375" s="68" t="str">
        <f>IF(C375=1,(B375*(A376-'F2'!D$8)+B376*('F2'!D$8-A375))/(A376-A375),"")</f>
        <v/>
      </c>
    </row>
    <row r="376" spans="1:4" x14ac:dyDescent="0.25">
      <c r="A376" s="71">
        <v>358</v>
      </c>
      <c r="B376" s="72">
        <v>-495.5</v>
      </c>
      <c r="C376" s="17" t="str">
        <f>IF('F2'!D$8=A376,1,IF(('F2'!D$8-A376)*('F2'!D$8-A377)&lt;0,1,""))</f>
        <v/>
      </c>
      <c r="D376" s="68" t="str">
        <f>IF(C376=1,(B376*(A377-'F2'!D$8)+B377*('F2'!D$8-A376))/(A377-A376),"")</f>
        <v/>
      </c>
    </row>
    <row r="377" spans="1:4" x14ac:dyDescent="0.25">
      <c r="A377" s="71">
        <v>359</v>
      </c>
      <c r="B377" s="72">
        <v>-495.2</v>
      </c>
      <c r="C377" s="17" t="str">
        <f>IF('F2'!D$8=A377,1,IF(('F2'!D$8-A377)*('F2'!D$8-A378)&lt;0,1,""))</f>
        <v/>
      </c>
      <c r="D377" s="68" t="str">
        <f>IF(C377=1,(B377*(A378-'F2'!D$8)+B378*('F2'!D$8-A377))/(A378-A377),"")</f>
        <v/>
      </c>
    </row>
    <row r="378" spans="1:4" x14ac:dyDescent="0.25">
      <c r="A378" s="71">
        <v>360</v>
      </c>
      <c r="B378" s="72">
        <v>-494.9</v>
      </c>
      <c r="D378" s="68"/>
    </row>
  </sheetData>
  <sheetProtection password="F4FC" sheet="1" objects="1" scenarios="1" selectLockedCells="1" selectUnlockedCell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F1</vt:lpstr>
      <vt:lpstr>F2</vt:lpstr>
      <vt:lpstr>F3</vt:lpstr>
      <vt:lpstr>'F1'!Zone_d_impression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Sève</dc:creator>
  <cp:lastModifiedBy>Sève</cp:lastModifiedBy>
  <cp:lastPrinted>2017-02-03T15:56:46Z</cp:lastPrinted>
  <dcterms:created xsi:type="dcterms:W3CDTF">2014-02-04T12:01:00Z</dcterms:created>
  <dcterms:modified xsi:type="dcterms:W3CDTF">2017-02-25T10:49:15Z</dcterms:modified>
</cp:coreProperties>
</file>